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cd 1 back\ESCRITORIO\impuestos\+ cursos rca\4 incremento salarial\increm 2014\a enviar\"/>
    </mc:Choice>
  </mc:AlternateContent>
  <bookViews>
    <workbookView xWindow="600" yWindow="585" windowWidth="14655" windowHeight="7110" tabRatio="734"/>
  </bookViews>
  <sheets>
    <sheet name="(paso 1) llenar Planillas AFP " sheetId="1" r:id="rId1"/>
    <sheet name="(paso 2) no hacer nada" sheetId="4" r:id="rId2"/>
    <sheet name="(paso 3) Actualizar" sheetId="2" r:id="rId3"/>
    <sheet name="Reportes (para forms AFPs)" sheetId="3" r:id="rId4"/>
  </sheet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E43" i="3" l="1"/>
  <c r="E42" i="3"/>
  <c r="E41" i="3"/>
  <c r="E40" i="3"/>
  <c r="E39" i="3"/>
  <c r="E38" i="3"/>
  <c r="E37" i="3"/>
  <c r="E35" i="3"/>
  <c r="E36" i="3"/>
  <c r="K9" i="4" l="1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B10" i="4"/>
  <c r="C10" i="4"/>
  <c r="D10" i="4"/>
  <c r="E10" i="4"/>
  <c r="F10" i="4"/>
  <c r="B11" i="4"/>
  <c r="C11" i="4"/>
  <c r="D11" i="4"/>
  <c r="E11" i="4"/>
  <c r="F11" i="4"/>
  <c r="B12" i="4"/>
  <c r="C12" i="4"/>
  <c r="D12" i="4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F15" i="4"/>
  <c r="B16" i="4"/>
  <c r="C16" i="4"/>
  <c r="D16" i="4"/>
  <c r="E16" i="4"/>
  <c r="F16" i="4"/>
  <c r="B17" i="4"/>
  <c r="C17" i="4"/>
  <c r="D17" i="4"/>
  <c r="E17" i="4"/>
  <c r="F17" i="4"/>
  <c r="B18" i="4"/>
  <c r="C18" i="4"/>
  <c r="D18" i="4"/>
  <c r="E18" i="4"/>
  <c r="F18" i="4"/>
  <c r="B19" i="4"/>
  <c r="C19" i="4"/>
  <c r="D19" i="4"/>
  <c r="E19" i="4"/>
  <c r="F19" i="4"/>
  <c r="B20" i="4"/>
  <c r="C20" i="4"/>
  <c r="D20" i="4"/>
  <c r="E20" i="4"/>
  <c r="F20" i="4"/>
  <c r="B21" i="4"/>
  <c r="C21" i="4"/>
  <c r="D21" i="4"/>
  <c r="E21" i="4"/>
  <c r="F21" i="4"/>
  <c r="B22" i="4"/>
  <c r="C22" i="4"/>
  <c r="D22" i="4"/>
  <c r="E22" i="4"/>
  <c r="F22" i="4"/>
  <c r="B23" i="4"/>
  <c r="C23" i="4"/>
  <c r="D23" i="4"/>
  <c r="E23" i="4"/>
  <c r="F23" i="4"/>
  <c r="B24" i="4"/>
  <c r="C24" i="4"/>
  <c r="D24" i="4"/>
  <c r="E24" i="4"/>
  <c r="F24" i="4"/>
  <c r="B25" i="4"/>
  <c r="C25" i="4"/>
  <c r="D25" i="4"/>
  <c r="E25" i="4"/>
  <c r="F25" i="4"/>
  <c r="B26" i="4"/>
  <c r="C26" i="4"/>
  <c r="D26" i="4"/>
  <c r="E26" i="4"/>
  <c r="F26" i="4"/>
  <c r="B27" i="4"/>
  <c r="C27" i="4"/>
  <c r="D27" i="4"/>
  <c r="E27" i="4"/>
  <c r="F27" i="4"/>
  <c r="B28" i="4"/>
  <c r="C28" i="4"/>
  <c r="D28" i="4"/>
  <c r="E28" i="4"/>
  <c r="F28" i="4"/>
  <c r="B29" i="4"/>
  <c r="C29" i="4"/>
  <c r="D29" i="4"/>
  <c r="E29" i="4"/>
  <c r="F29" i="4"/>
  <c r="D9" i="4"/>
  <c r="E9" i="4"/>
  <c r="F9" i="4"/>
  <c r="C9" i="4"/>
  <c r="B9" i="4"/>
  <c r="J14" i="3"/>
  <c r="J32" i="3"/>
  <c r="K34" i="1"/>
  <c r="D49" i="3" l="1"/>
  <c r="L9" i="4"/>
  <c r="P9" i="4" s="1"/>
  <c r="M9" i="4"/>
  <c r="Q9" i="4" s="1"/>
  <c r="N9" i="4"/>
  <c r="L10" i="4"/>
  <c r="M10" i="4"/>
  <c r="Q10" i="4" s="1"/>
  <c r="N10" i="4"/>
  <c r="L11" i="4"/>
  <c r="P11" i="4" s="1"/>
  <c r="R11" i="4" s="1"/>
  <c r="M11" i="4"/>
  <c r="Q11" i="4" s="1"/>
  <c r="N11" i="4"/>
  <c r="L12" i="4"/>
  <c r="P12" i="4" s="1"/>
  <c r="R12" i="4" s="1"/>
  <c r="M12" i="4"/>
  <c r="Q12" i="4" s="1"/>
  <c r="N12" i="4"/>
  <c r="L13" i="4"/>
  <c r="P13" i="4" s="1"/>
  <c r="R13" i="4" s="1"/>
  <c r="M13" i="4"/>
  <c r="Q13" i="4" s="1"/>
  <c r="N13" i="4"/>
  <c r="L14" i="4"/>
  <c r="P14" i="4" s="1"/>
  <c r="R14" i="4" s="1"/>
  <c r="M14" i="4"/>
  <c r="Q14" i="4" s="1"/>
  <c r="N14" i="4"/>
  <c r="L15" i="4"/>
  <c r="P15" i="4" s="1"/>
  <c r="R15" i="4" s="1"/>
  <c r="M15" i="4"/>
  <c r="Q15" i="4" s="1"/>
  <c r="N15" i="4"/>
  <c r="L16" i="4"/>
  <c r="P16" i="4" s="1"/>
  <c r="R16" i="4" s="1"/>
  <c r="M16" i="4"/>
  <c r="Q16" i="4" s="1"/>
  <c r="N16" i="4"/>
  <c r="L17" i="4"/>
  <c r="P17" i="4" s="1"/>
  <c r="R17" i="4" s="1"/>
  <c r="M17" i="4"/>
  <c r="Q17" i="4" s="1"/>
  <c r="N17" i="4"/>
  <c r="L18" i="4"/>
  <c r="P18" i="4" s="1"/>
  <c r="R18" i="4" s="1"/>
  <c r="M18" i="4"/>
  <c r="Q18" i="4" s="1"/>
  <c r="N18" i="4"/>
  <c r="L19" i="4"/>
  <c r="P19" i="4" s="1"/>
  <c r="R19" i="4" s="1"/>
  <c r="M19" i="4"/>
  <c r="Q19" i="4" s="1"/>
  <c r="N19" i="4"/>
  <c r="L20" i="4"/>
  <c r="P20" i="4" s="1"/>
  <c r="R20" i="4" s="1"/>
  <c r="M20" i="4"/>
  <c r="Q20" i="4" s="1"/>
  <c r="N20" i="4"/>
  <c r="L21" i="4"/>
  <c r="P21" i="4" s="1"/>
  <c r="R21" i="4" s="1"/>
  <c r="M21" i="4"/>
  <c r="Q21" i="4" s="1"/>
  <c r="N21" i="4"/>
  <c r="L22" i="4"/>
  <c r="P22" i="4" s="1"/>
  <c r="R22" i="4" s="1"/>
  <c r="M22" i="4"/>
  <c r="Q22" i="4" s="1"/>
  <c r="N22" i="4"/>
  <c r="L23" i="4"/>
  <c r="P23" i="4" s="1"/>
  <c r="R23" i="4" s="1"/>
  <c r="M23" i="4"/>
  <c r="Q23" i="4" s="1"/>
  <c r="N23" i="4"/>
  <c r="L24" i="4"/>
  <c r="P24" i="4" s="1"/>
  <c r="R24" i="4" s="1"/>
  <c r="M24" i="4"/>
  <c r="Q24" i="4" s="1"/>
  <c r="N24" i="4"/>
  <c r="L25" i="4"/>
  <c r="P25" i="4" s="1"/>
  <c r="R25" i="4" s="1"/>
  <c r="M25" i="4"/>
  <c r="Q25" i="4" s="1"/>
  <c r="N25" i="4"/>
  <c r="L26" i="4"/>
  <c r="P26" i="4" s="1"/>
  <c r="R26" i="4" s="1"/>
  <c r="M26" i="4"/>
  <c r="Q26" i="4" s="1"/>
  <c r="N26" i="4"/>
  <c r="L27" i="4"/>
  <c r="P27" i="4" s="1"/>
  <c r="R27" i="4" s="1"/>
  <c r="M27" i="4"/>
  <c r="Q27" i="4" s="1"/>
  <c r="N27" i="4"/>
  <c r="L28" i="4"/>
  <c r="P28" i="4" s="1"/>
  <c r="R28" i="4" s="1"/>
  <c r="M28" i="4"/>
  <c r="Q28" i="4" s="1"/>
  <c r="N28" i="4"/>
  <c r="L29" i="4"/>
  <c r="P29" i="4" s="1"/>
  <c r="R29" i="4" s="1"/>
  <c r="M29" i="4"/>
  <c r="Q29" i="4" s="1"/>
  <c r="N29" i="4"/>
  <c r="J85" i="1"/>
  <c r="I6" i="2"/>
  <c r="C5" i="2"/>
  <c r="C4" i="2"/>
  <c r="Q30" i="4" l="1"/>
  <c r="N30" i="4"/>
  <c r="P10" i="4"/>
  <c r="R10" i="4" s="1"/>
  <c r="E21" i="3" s="1"/>
  <c r="F42" i="3" s="1"/>
  <c r="M30" i="4"/>
  <c r="R9" i="4"/>
  <c r="L30" i="4"/>
  <c r="B10" i="3"/>
  <c r="K17" i="3" s="1"/>
  <c r="B11" i="3"/>
  <c r="C11" i="3" s="1"/>
  <c r="H5" i="2"/>
  <c r="E5" i="2"/>
  <c r="D5" i="2"/>
  <c r="F5" i="2"/>
  <c r="L5" i="2" s="1"/>
  <c r="G5" i="2"/>
  <c r="G4" i="2"/>
  <c r="H4" i="2"/>
  <c r="C6" i="2"/>
  <c r="F4" i="2"/>
  <c r="D4" i="2"/>
  <c r="E4" i="2"/>
  <c r="R30" i="4" l="1"/>
  <c r="E20" i="3"/>
  <c r="P30" i="4"/>
  <c r="E22" i="3"/>
  <c r="E11" i="3"/>
  <c r="C21" i="3" s="1"/>
  <c r="F40" i="3" s="1"/>
  <c r="K35" i="3"/>
  <c r="M17" i="3"/>
  <c r="K21" i="3"/>
  <c r="K26" i="3" s="1"/>
  <c r="K29" i="3" s="1"/>
  <c r="E6" i="2"/>
  <c r="T9" i="4"/>
  <c r="M5" i="2"/>
  <c r="B12" i="3"/>
  <c r="E10" i="3"/>
  <c r="C10" i="3"/>
  <c r="G10" i="3"/>
  <c r="F10" i="3"/>
  <c r="D10" i="3"/>
  <c r="G6" i="2"/>
  <c r="G11" i="3"/>
  <c r="D11" i="3"/>
  <c r="F11" i="3"/>
  <c r="B21" i="3" s="1"/>
  <c r="F39" i="3" s="1"/>
  <c r="C12" i="3"/>
  <c r="K5" i="2"/>
  <c r="K4" i="2"/>
  <c r="D6" i="2"/>
  <c r="L4" i="2"/>
  <c r="F6" i="2"/>
  <c r="M4" i="2"/>
  <c r="H6" i="2"/>
  <c r="K87" i="1"/>
  <c r="K81" i="1"/>
  <c r="K82" i="1"/>
  <c r="K85" i="1"/>
  <c r="K80" i="1"/>
  <c r="H14" i="3" l="1"/>
  <c r="H15" i="3"/>
  <c r="O17" i="3"/>
  <c r="M18" i="3"/>
  <c r="M21" i="3" s="1"/>
  <c r="K39" i="3"/>
  <c r="K45" i="3" s="1"/>
  <c r="K48" i="3" s="1"/>
  <c r="M35" i="3"/>
  <c r="H12" i="3"/>
  <c r="F38" i="3"/>
  <c r="F12" i="3"/>
  <c r="B20" i="3"/>
  <c r="D12" i="3"/>
  <c r="D20" i="3"/>
  <c r="C20" i="3"/>
  <c r="E12" i="3"/>
  <c r="D21" i="3"/>
  <c r="F41" i="3" s="1"/>
  <c r="G12" i="3"/>
  <c r="O20" i="3" l="1"/>
  <c r="O19" i="3"/>
  <c r="M36" i="3"/>
  <c r="M39" i="3" s="1"/>
  <c r="O35" i="3"/>
  <c r="F36" i="3"/>
  <c r="C22" i="3"/>
  <c r="F37" i="3"/>
  <c r="D22" i="3"/>
  <c r="F35" i="3"/>
  <c r="F43" i="3" s="1"/>
  <c r="B22" i="3"/>
  <c r="F22" i="3" l="1"/>
  <c r="O22" i="3"/>
  <c r="O25" i="3" s="1"/>
  <c r="O38" i="3"/>
  <c r="O37" i="3"/>
  <c r="O40" i="3" l="1"/>
  <c r="O44" i="3" s="1"/>
</calcChain>
</file>

<file path=xl/comments1.xml><?xml version="1.0" encoding="utf-8"?>
<comments xmlns="http://schemas.openxmlformats.org/spreadsheetml/2006/main">
  <authors>
    <author>Marketing.</author>
  </authors>
  <commentList>
    <comment ref="B2" authorId="0" shapeId="0">
      <text/>
    </comment>
  </commentList>
</comments>
</file>

<file path=xl/comments2.xml><?xml version="1.0" encoding="utf-8"?>
<comments xmlns="http://schemas.openxmlformats.org/spreadsheetml/2006/main">
  <authors>
    <author>Marketing.</author>
  </authors>
  <commentList>
    <comment ref="B9" authorId="0" shapeId="0">
      <text>
        <r>
          <rPr>
            <b/>
            <sz val="8"/>
            <color indexed="81"/>
            <rFont val="Tahoma"/>
            <family val="2"/>
          </rPr>
          <t>TAMBIEN SE PUEDEN COLOCAR LOS TOTALES GANADOS AQUÍ DIRECTAMENTE, pero recomendamos llenar todos los datos en PLANILLAS AFP (Paso 1)</t>
        </r>
      </text>
    </comment>
    <comment ref="F43" authorId="0" shapeId="0">
      <text>
        <r>
          <rPr>
            <b/>
            <sz val="10"/>
            <color indexed="81"/>
            <rFont val="Tahoma"/>
            <family val="2"/>
          </rPr>
          <t xml:space="preserve">En lo posible girar los cheques 1 o 2 puntos por debajo del monto declarado. Pues los cajeros no pueden devolver cambio de un cheque girado por demás y rechazan la operación. </t>
        </r>
      </text>
    </comment>
  </commentList>
</comments>
</file>

<file path=xl/sharedStrings.xml><?xml version="1.0" encoding="utf-8"?>
<sst xmlns="http://schemas.openxmlformats.org/spreadsheetml/2006/main" count="248" uniqueCount="149">
  <si>
    <t>NUA</t>
  </si>
  <si>
    <t>AFP</t>
  </si>
  <si>
    <t xml:space="preserve">FUTURO </t>
  </si>
  <si>
    <t>PREVISION</t>
  </si>
  <si>
    <t>TOTAL GANADO</t>
  </si>
  <si>
    <t>NOMBRE DEL AFILIADO</t>
  </si>
  <si>
    <t>NOVEDAD I/R/L/S</t>
  </si>
  <si>
    <t>I</t>
  </si>
  <si>
    <t>FECHA DE NOVEDAD</t>
  </si>
  <si>
    <t>(EXPRESADO EN BOLIVIANOS)</t>
  </si>
  <si>
    <t>SC</t>
  </si>
  <si>
    <t>apte laboral</t>
  </si>
  <si>
    <t>vivienda</t>
  </si>
  <si>
    <t>solidario</t>
  </si>
  <si>
    <t>Total general</t>
  </si>
  <si>
    <t>Suma de TOTAL GANADO</t>
  </si>
  <si>
    <t>laboral</t>
  </si>
  <si>
    <t>patronal</t>
  </si>
  <si>
    <t>lab solid</t>
  </si>
  <si>
    <t>patr solid</t>
  </si>
  <si>
    <t xml:space="preserve">patronal </t>
  </si>
  <si>
    <t>ptron caja</t>
  </si>
  <si>
    <t>casillas 1</t>
  </si>
  <si>
    <t>casillas 2</t>
  </si>
  <si>
    <t>casillas 3</t>
  </si>
  <si>
    <t>integral</t>
  </si>
  <si>
    <t>Número para AFP</t>
  </si>
  <si>
    <t>NRO CI</t>
  </si>
  <si>
    <t>TIPO</t>
  </si>
  <si>
    <t>CI</t>
  </si>
  <si>
    <t>EXT.</t>
  </si>
  <si>
    <t xml:space="preserve">DETALLE PARA PAGO DE APORTES </t>
  </si>
  <si>
    <t>FCI</t>
  </si>
  <si>
    <t>Vivienda</t>
  </si>
  <si>
    <t>CAJA</t>
  </si>
  <si>
    <t xml:space="preserve">Para </t>
  </si>
  <si>
    <t>10%</t>
  </si>
  <si>
    <t>Ch 1</t>
  </si>
  <si>
    <t>Ch 2</t>
  </si>
  <si>
    <t>Ch 3</t>
  </si>
  <si>
    <t>Ch 4</t>
  </si>
  <si>
    <t>13.92%</t>
  </si>
  <si>
    <t>2%</t>
  </si>
  <si>
    <t>3.50%</t>
  </si>
  <si>
    <t xml:space="preserve">Ver form. </t>
  </si>
  <si>
    <t xml:space="preserve">para: </t>
  </si>
  <si>
    <t>Aportes para el FCI</t>
  </si>
  <si>
    <t>Aporte patronal</t>
  </si>
  <si>
    <t>Fondo Solidario</t>
  </si>
  <si>
    <t>Fondo Nacional Solidario</t>
  </si>
  <si>
    <t>AFP Futuro de Bolivia S.A.</t>
  </si>
  <si>
    <t>BBVA S.A. Previsión AFP</t>
  </si>
  <si>
    <t>Subt. BOB</t>
  </si>
  <si>
    <t>BOB</t>
  </si>
  <si>
    <t xml:space="preserve">total gral. </t>
  </si>
  <si>
    <t>Detalle de los cheques:</t>
  </si>
  <si>
    <t>Monto Usd</t>
  </si>
  <si>
    <t>Columna1</t>
  </si>
  <si>
    <t>Columna2</t>
  </si>
  <si>
    <t>Columna3</t>
  </si>
  <si>
    <t xml:space="preserve">Banco Nacional de Bolivia S.A. - AFP Futuro de Bolivia, Aportes para el FCI </t>
  </si>
  <si>
    <t>Banco Nacional de Bolivia S.A. - Provivienda S.A., Aporte patronal</t>
  </si>
  <si>
    <t>Banco Nacional de Bolivia S.A. - AFP Futuro de Bolivia, Fondo Solidario</t>
  </si>
  <si>
    <t>Banco Nacional de Bolivia S.A. - AFP Futuro de Bolivia, Fondo Nacional Solidario</t>
  </si>
  <si>
    <t xml:space="preserve">Banco Nacional de Bolivia S.A. - BBV S.A. Previsión AFP, Aportes para el FCI </t>
  </si>
  <si>
    <t>Banco Nacional de Bolivia S.A. - BBV S.A. Previsión AFP, Fondo Solidario</t>
  </si>
  <si>
    <t>USD</t>
  </si>
  <si>
    <t>SANTA CRUZ</t>
  </si>
  <si>
    <t>difcia 13 mil</t>
  </si>
  <si>
    <t>(24)  TOTAL GANADO SOLIDARIO MENOS BS. 35,000 (SI LA DIFERENCIA ES POSITIVA</t>
  </si>
  <si>
    <t>(23)  TOTAL GANADO SOLIDARIO MENOS BS. 25,000 (SI LA DIFERENCIA ES POSITIVA</t>
  </si>
  <si>
    <t>22)  TOTAL GANADO SOLIDARIO MENOS BS. 13,000 (SI LA DIFERENCIA ES POSITIVA)</t>
  </si>
  <si>
    <t>(21) TOTAL GANADO SOLIDARIO (SIN CONSIDERAR TOPE DE 60 SALARIOS MÍNIMOS NACIONALES)</t>
  </si>
  <si>
    <t>(19) DÍAS COTIZADOS</t>
  </si>
  <si>
    <t xml:space="preserve">(18) FECHA NOVEDAD dd/mm/aaaa </t>
  </si>
  <si>
    <t>(17) NOVEDAD I/R/L/S</t>
  </si>
  <si>
    <t>(F) DEPARTAMENTO</t>
  </si>
  <si>
    <t>(A) 1er. APELLIDO (PATERNO)</t>
  </si>
  <si>
    <t>(15) NUA/CUA</t>
  </si>
  <si>
    <t>EXTENSIÓN</t>
  </si>
  <si>
    <t>(14) Nº</t>
  </si>
  <si>
    <t>(13) TIPO</t>
  </si>
  <si>
    <t>No</t>
  </si>
  <si>
    <t>no</t>
  </si>
  <si>
    <t xml:space="preserve">Santa Cruz, </t>
  </si>
  <si>
    <t>DETALLE PARA GIRO DE CHEQUES:</t>
  </si>
  <si>
    <t>RESUMEN DE FORMULARIOS DE CONTRIBUCIONES PARA AMBAS AFPS (BS)</t>
  </si>
  <si>
    <t>RESUMEN DE MONTOS A PAGAR EN BS.</t>
  </si>
  <si>
    <t>actualizar!!!!!</t>
  </si>
  <si>
    <t>t.c. 6.85</t>
  </si>
  <si>
    <t>SOLIDARIO NACIONAL A PAGAR</t>
  </si>
  <si>
    <t xml:space="preserve">solid </t>
  </si>
  <si>
    <t>IV. Resumen de contribuciones al SIP aportes para vivienda y fondo solidario</t>
  </si>
  <si>
    <t>Aportes al sistema integral de pensiones</t>
  </si>
  <si>
    <t>Aporte patronal para vivienda</t>
  </si>
  <si>
    <t>Aporte solidario patronal y del asegurado</t>
  </si>
  <si>
    <t>(29) Sumatoria Dependiente menor de 65 años o Asegurado con Pensión del SIP menor de 65 años que decide aportar al SIP Suma (21)</t>
  </si>
  <si>
    <t>(42) Sumatoria del Total Ganado Suma (26)</t>
  </si>
  <si>
    <t>(47) Sumatoria del Total Ganado Suma (27)</t>
  </si>
  <si>
    <t>(30) Sumatoria Dependiente mayor de 65 años o Asegurado con Pensión del SIP mayor de 65 años que decide aportar al SIP Suma (22)</t>
  </si>
  <si>
    <t>(43) Contribución de Vivienda (Fila 42 x 2%)</t>
  </si>
  <si>
    <t>(48) Sumatoria del Total Ganado Aporte Solidario Minero Suma (28)</t>
  </si>
  <si>
    <t>(31) Sumatoria Asegurado con Pensión del SIP menor de 65 años que decide no aportar al SIP Suma (23)</t>
  </si>
  <si>
    <t>(44) Interés por Mora</t>
  </si>
  <si>
    <t>(49) Aporte Patronal Solidario (Fila 47 * 3%)</t>
  </si>
  <si>
    <t>(32) Sumatoria Asegurado con Pensión del SIP mayor de 65 años que decide no aportar al SIP Suma (24)</t>
  </si>
  <si>
    <t>(45) Interés Incremental</t>
  </si>
  <si>
    <t>(50) Aporte Solidario del Asegurado (Fila 47 x 0.5%)</t>
  </si>
  <si>
    <t>(33) Contribución Dependiente menor de 65 años o Asegurado con Pensión del SIP menor de 65 años que decide aportar al SIP (Fila 29 x 13,92%)</t>
  </si>
  <si>
    <t>(46) TOTAL A PAGAR (43+44+45)</t>
  </si>
  <si>
    <t>(51) Aporte Solidario Minero (Fila 48 x 2%)</t>
  </si>
  <si>
    <t>(34) Contribución Dependiente mayor de 65 años o Asegurado con Pensión del SIP mayor de 65 años que decide aportar al SIP (Fila 30 x 10,50%)</t>
  </si>
  <si>
    <t>INSTRUCCIONES DE LLENADO</t>
  </si>
  <si>
    <t>(52) Sub-Total Aportes Solidarios (49+50+51)</t>
  </si>
  <si>
    <t>(35) Contribución Asegurado con Pensión del SIP menor de 65 años que decide no aportar al SIP (Fila 31 x 3,92%)</t>
  </si>
  <si>
    <t>(53) Interés por Mora</t>
  </si>
  <si>
    <t>(36) Contribución Asegurado con Pensión del SIP mayor de 65 años que decide no aportar al SIP (Fila 32 x 0,5%)</t>
  </si>
  <si>
    <t>(54) Interés Incremental</t>
  </si>
  <si>
    <t>(37) Sumatoria Cotizaciones Adicionales Suma (25)</t>
  </si>
  <si>
    <t>(55) TOTAL A PAGAR (52+53+54)</t>
  </si>
  <si>
    <t>(38) Sub-Total Primas y Contribuciones (33+34+35+36+37)</t>
  </si>
  <si>
    <t>1. DEBE LLENAR UN “FPC ON LINE” POR CADA PERÍODO DE COTIZACIÓN A DECLARAR.</t>
  </si>
  <si>
    <t>(39) Interés por Mora</t>
  </si>
  <si>
    <t>2. IMPRIMIR CUATRO COPIAS FíSICAS POR CADA DECLARACIÓN (1 COPIA CLIENTE, 3 COPIAS BANCO)</t>
  </si>
  <si>
    <t>(40) interés incremental</t>
  </si>
  <si>
    <t>3. NECESITA TENER INSTALADO ADOBE ACROBAT READER PARA PODER VISUALIZAR LA IMPRESIÓN DEL “FPC ON LINE”</t>
  </si>
  <si>
    <t>(41) TOTAL A PAGAR SIP (38+39+40)</t>
  </si>
  <si>
    <t>4. EL “FPC ON LINE” CALCULA LOS MONTOS EN FUNCIÓN A LOS DATOS PROPORCIONADOS POR UD., EN CASO DE DIFERENCIAS CON LA REALIDAD LA DEUDA SERÁ COBRADA.</t>
  </si>
  <si>
    <t>DETALLE EN LOS FORMULARIOS DE AFP</t>
  </si>
  <si>
    <t>PERLA LINDA PERLACIOS ADORNO</t>
  </si>
  <si>
    <t>NICOLAS VARGAS ARENAS</t>
  </si>
  <si>
    <t>EMPRESA AAAAA</t>
  </si>
  <si>
    <t>PLANILLA PARA PAGO DE APORTES</t>
  </si>
  <si>
    <t>nro A OCULTAR</t>
  </si>
  <si>
    <t>difcia 2500</t>
  </si>
  <si>
    <t>EMPRESA  AAAA</t>
  </si>
  <si>
    <t>Previsión para indemnización</t>
  </si>
  <si>
    <t>Provisión para aguin</t>
  </si>
  <si>
    <t>Banco Nacional de Bolivia S.A. - BBV S.A. Previsión AFP, Fondo Nacional Solidario</t>
  </si>
  <si>
    <t>Etiquetas de fila</t>
  </si>
  <si>
    <t>MES DE MATO DE 2015</t>
  </si>
  <si>
    <t>POR EL MES DE MAYO 2015</t>
  </si>
  <si>
    <t>12,21%</t>
  </si>
  <si>
    <t>0,50%</t>
  </si>
  <si>
    <t>2,00%</t>
  </si>
  <si>
    <t>1,71%</t>
  </si>
  <si>
    <t>3,00%</t>
  </si>
  <si>
    <t>Nro de cheques:</t>
  </si>
  <si>
    <t>Monto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</si>
</sst>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800]dddd\,\ mmmm\ dd\,\ yyyy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9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990000"/>
      </left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rgb="FF990000"/>
      </left>
      <right/>
      <top style="thin">
        <color rgb="FF990000"/>
      </top>
      <bottom style="thin">
        <color rgb="FF990000"/>
      </bottom>
      <diagonal/>
    </border>
    <border>
      <left/>
      <right/>
      <top style="thin">
        <color rgb="FF990000"/>
      </top>
      <bottom style="thin">
        <color rgb="FF990000"/>
      </bottom>
      <diagonal/>
    </border>
    <border>
      <left/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rgb="FF990000"/>
      </left>
      <right/>
      <top style="thin">
        <color rgb="FF990000"/>
      </top>
      <bottom/>
      <diagonal/>
    </border>
    <border>
      <left/>
      <right style="thin">
        <color rgb="FF990000"/>
      </right>
      <top style="thin">
        <color rgb="FF990000"/>
      </top>
      <bottom/>
      <diagonal/>
    </border>
    <border>
      <left style="thin">
        <color rgb="FF990000"/>
      </left>
      <right/>
      <top/>
      <bottom/>
      <diagonal/>
    </border>
    <border>
      <left/>
      <right style="thin">
        <color rgb="FF990000"/>
      </right>
      <top/>
      <bottom/>
      <diagonal/>
    </border>
    <border>
      <left/>
      <right/>
      <top style="thin">
        <color rgb="FF99000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</cellStyleXfs>
  <cellXfs count="147">
    <xf numFmtId="0" fontId="0" fillId="0" borderId="0" xfId="0"/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4" fontId="5" fillId="0" borderId="0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/>
    <xf numFmtId="0" fontId="6" fillId="0" borderId="1" xfId="0" applyFont="1" applyFill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5" fillId="0" borderId="1" xfId="0" applyFont="1" applyFill="1" applyBorder="1" applyAlignment="1">
      <alignment horizontal="center"/>
    </xf>
    <xf numFmtId="43" fontId="5" fillId="0" borderId="1" xfId="1" applyFont="1" applyBorder="1" applyAlignment="1">
      <alignment horizontal="left" wrapText="1"/>
    </xf>
    <xf numFmtId="43" fontId="5" fillId="0" borderId="1" xfId="1" applyFont="1" applyBorder="1"/>
    <xf numFmtId="43" fontId="6" fillId="0" borderId="1" xfId="1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right" wrapText="1"/>
    </xf>
    <xf numFmtId="0" fontId="5" fillId="0" borderId="0" xfId="0" applyNumberFormat="1" applyFont="1" applyBorder="1" applyAlignment="1">
      <alignment horizontal="right"/>
    </xf>
    <xf numFmtId="10" fontId="5" fillId="0" borderId="0" xfId="0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8" fillId="0" borderId="0" xfId="0" applyFont="1"/>
    <xf numFmtId="10" fontId="8" fillId="0" borderId="0" xfId="0" applyNumberFormat="1" applyFont="1"/>
    <xf numFmtId="9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43" fontId="9" fillId="0" borderId="1" xfId="1" applyFont="1" applyFill="1" applyBorder="1"/>
    <xf numFmtId="0" fontId="9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9" fillId="0" borderId="2" xfId="0" applyNumberFormat="1" applyFont="1" applyFill="1" applyBorder="1"/>
    <xf numFmtId="4" fontId="5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43" fontId="9" fillId="0" borderId="0" xfId="0" applyNumberFormat="1" applyFont="1" applyFill="1" applyBorder="1"/>
    <xf numFmtId="0" fontId="4" fillId="0" borderId="0" xfId="2"/>
    <xf numFmtId="43" fontId="0" fillId="0" borderId="0" xfId="3" applyFont="1"/>
    <xf numFmtId="43" fontId="8" fillId="0" borderId="3" xfId="3" applyFont="1" applyBorder="1" applyAlignment="1">
      <alignment horizontal="center"/>
    </xf>
    <xf numFmtId="9" fontId="8" fillId="0" borderId="3" xfId="3" applyNumberFormat="1" applyFont="1" applyBorder="1" applyAlignment="1">
      <alignment horizontal="center"/>
    </xf>
    <xf numFmtId="0" fontId="4" fillId="0" borderId="0" xfId="2" applyAlignment="1">
      <alignment horizontal="left"/>
    </xf>
    <xf numFmtId="0" fontId="4" fillId="3" borderId="0" xfId="2" applyFill="1"/>
    <xf numFmtId="43" fontId="0" fillId="0" borderId="3" xfId="3" applyFont="1" applyBorder="1"/>
    <xf numFmtId="43" fontId="0" fillId="0" borderId="4" xfId="3" applyFont="1" applyBorder="1"/>
    <xf numFmtId="43" fontId="0" fillId="0" borderId="0" xfId="3" applyFont="1" applyBorder="1" applyAlignment="1">
      <alignment horizontal="center" vertical="center" wrapText="1"/>
    </xf>
    <xf numFmtId="43" fontId="0" fillId="0" borderId="5" xfId="3" applyFont="1" applyBorder="1"/>
    <xf numFmtId="43" fontId="0" fillId="0" borderId="0" xfId="3" applyFont="1" applyBorder="1"/>
    <xf numFmtId="0" fontId="10" fillId="4" borderId="6" xfId="2" applyFont="1" applyFill="1" applyBorder="1"/>
    <xf numFmtId="43" fontId="10" fillId="4" borderId="7" xfId="3" applyNumberFormat="1" applyFont="1" applyFill="1" applyBorder="1"/>
    <xf numFmtId="0" fontId="11" fillId="0" borderId="0" xfId="2" applyFont="1"/>
    <xf numFmtId="0" fontId="4" fillId="0" borderId="8" xfId="2" applyBorder="1"/>
    <xf numFmtId="43" fontId="0" fillId="0" borderId="9" xfId="3" applyFont="1" applyBorder="1"/>
    <xf numFmtId="43" fontId="0" fillId="0" borderId="10" xfId="3" applyFont="1" applyBorder="1"/>
    <xf numFmtId="0" fontId="4" fillId="0" borderId="11" xfId="2" applyBorder="1"/>
    <xf numFmtId="43" fontId="0" fillId="0" borderId="12" xfId="3" applyFont="1" applyBorder="1"/>
    <xf numFmtId="43" fontId="0" fillId="0" borderId="13" xfId="3" applyFont="1" applyBorder="1"/>
    <xf numFmtId="0" fontId="12" fillId="0" borderId="0" xfId="2" applyFont="1" applyAlignment="1">
      <alignment horizontal="left"/>
    </xf>
    <xf numFmtId="0" fontId="12" fillId="0" borderId="0" xfId="2" applyFont="1"/>
    <xf numFmtId="10" fontId="12" fillId="0" borderId="0" xfId="2" applyNumberFormat="1" applyFont="1" applyAlignment="1">
      <alignment horizontal="center"/>
    </xf>
    <xf numFmtId="10" fontId="13" fillId="0" borderId="0" xfId="2" applyNumberFormat="1" applyFont="1" applyAlignment="1">
      <alignment horizontal="center"/>
    </xf>
    <xf numFmtId="9" fontId="12" fillId="3" borderId="0" xfId="2" applyNumberFormat="1" applyFont="1" applyFill="1" applyAlignment="1">
      <alignment horizontal="center"/>
    </xf>
    <xf numFmtId="43" fontId="14" fillId="0" borderId="0" xfId="3" applyFont="1"/>
    <xf numFmtId="0" fontId="12" fillId="0" borderId="0" xfId="2" applyFont="1" applyBorder="1"/>
    <xf numFmtId="43" fontId="12" fillId="0" borderId="0" xfId="2" applyNumberFormat="1" applyFont="1" applyBorder="1"/>
    <xf numFmtId="43" fontId="12" fillId="3" borderId="0" xfId="2" applyNumberFormat="1" applyFont="1" applyFill="1" applyBorder="1"/>
    <xf numFmtId="10" fontId="14" fillId="0" borderId="0" xfId="3" applyNumberFormat="1" applyFont="1"/>
    <xf numFmtId="43" fontId="14" fillId="0" borderId="0" xfId="3" applyFont="1" applyBorder="1" applyAlignment="1">
      <alignment horizontal="center" vertical="center" wrapText="1"/>
    </xf>
    <xf numFmtId="1" fontId="4" fillId="0" borderId="0" xfId="2" applyNumberFormat="1"/>
    <xf numFmtId="14" fontId="4" fillId="0" borderId="0" xfId="2" applyNumberFormat="1"/>
    <xf numFmtId="0" fontId="4" fillId="0" borderId="0" xfId="2" applyAlignment="1">
      <alignment horizontal="center" vertical="center" wrapText="1"/>
    </xf>
    <xf numFmtId="0" fontId="4" fillId="0" borderId="0" xfId="2" applyAlignment="1">
      <alignment horizontal="center"/>
    </xf>
    <xf numFmtId="43" fontId="8" fillId="0" borderId="0" xfId="3" applyFont="1"/>
    <xf numFmtId="43" fontId="8" fillId="0" borderId="0" xfId="3" applyFont="1" applyAlignment="1">
      <alignment horizontal="right"/>
    </xf>
    <xf numFmtId="43" fontId="8" fillId="0" borderId="5" xfId="3" applyFont="1" applyBorder="1"/>
    <xf numFmtId="0" fontId="15" fillId="0" borderId="14" xfId="0" applyFont="1" applyFill="1" applyBorder="1" applyAlignment="1">
      <alignment horizontal="left"/>
    </xf>
    <xf numFmtId="0" fontId="4" fillId="0" borderId="3" xfId="2" applyBorder="1"/>
    <xf numFmtId="0" fontId="4" fillId="0" borderId="3" xfId="2" applyBorder="1" applyAlignment="1">
      <alignment horizontal="center" vertical="center" wrapText="1"/>
    </xf>
    <xf numFmtId="43" fontId="0" fillId="0" borderId="0" xfId="1" applyFont="1"/>
    <xf numFmtId="43" fontId="8" fillId="0" borderId="0" xfId="1" applyFont="1"/>
    <xf numFmtId="43" fontId="4" fillId="0" borderId="0" xfId="2" applyNumberFormat="1"/>
    <xf numFmtId="0" fontId="16" fillId="0" borderId="0" xfId="0" applyFont="1" applyFill="1" applyBorder="1"/>
    <xf numFmtId="43" fontId="4" fillId="0" borderId="0" xfId="1" applyFont="1"/>
    <xf numFmtId="43" fontId="12" fillId="0" borderId="0" xfId="1" applyFont="1" applyBorder="1"/>
    <xf numFmtId="43" fontId="8" fillId="0" borderId="0" xfId="3" applyFont="1" applyBorder="1"/>
    <xf numFmtId="0" fontId="3" fillId="0" borderId="15" xfId="4" applyBorder="1" applyAlignment="1">
      <alignment wrapText="1"/>
    </xf>
    <xf numFmtId="0" fontId="3" fillId="0" borderId="15" xfId="4" applyBorder="1" applyAlignment="1">
      <alignment horizontal="left" vertical="top" wrapText="1"/>
    </xf>
    <xf numFmtId="2" fontId="3" fillId="0" borderId="15" xfId="4" applyNumberFormat="1" applyBorder="1" applyAlignment="1">
      <alignment horizontal="right" vertical="top" wrapText="1"/>
    </xf>
    <xf numFmtId="2" fontId="3" fillId="0" borderId="15" xfId="4" applyNumberFormat="1" applyBorder="1" applyAlignment="1">
      <alignment horizontal="right" wrapText="1"/>
    </xf>
    <xf numFmtId="0" fontId="19" fillId="0" borderId="0" xfId="2" applyFont="1"/>
    <xf numFmtId="2" fontId="3" fillId="0" borderId="15" xfId="4" applyNumberFormat="1" applyFill="1" applyBorder="1" applyAlignment="1">
      <alignment horizontal="right" vertical="top" wrapText="1"/>
    </xf>
    <xf numFmtId="43" fontId="0" fillId="0" borderId="3" xfId="1" applyFont="1" applyBorder="1"/>
    <xf numFmtId="43" fontId="0" fillId="0" borderId="4" xfId="1" applyFont="1" applyBorder="1"/>
    <xf numFmtId="0" fontId="10" fillId="0" borderId="0" xfId="2" applyFont="1"/>
    <xf numFmtId="43" fontId="20" fillId="0" borderId="0" xfId="3" applyFont="1"/>
    <xf numFmtId="43" fontId="10" fillId="0" borderId="0" xfId="3" applyFont="1"/>
    <xf numFmtId="0" fontId="0" fillId="6" borderId="0" xfId="0" applyFill="1" applyAlignment="1">
      <alignment horizontal="left"/>
    </xf>
    <xf numFmtId="43" fontId="0" fillId="6" borderId="0" xfId="0" applyNumberFormat="1" applyFill="1"/>
    <xf numFmtId="0" fontId="2" fillId="0" borderId="0" xfId="2" applyFont="1"/>
    <xf numFmtId="0" fontId="2" fillId="0" borderId="0" xfId="2" applyNumberFormat="1" applyFont="1"/>
    <xf numFmtId="0" fontId="4" fillId="0" borderId="0" xfId="2" applyNumberFormat="1"/>
    <xf numFmtId="1" fontId="21" fillId="0" borderId="0" xfId="0" applyNumberFormat="1" applyFont="1" applyFill="1" applyBorder="1" applyAlignment="1" applyProtection="1"/>
    <xf numFmtId="0" fontId="18" fillId="0" borderId="0" xfId="2" applyFont="1" applyAlignment="1">
      <alignment horizontal="center" vertical="center" wrapText="1"/>
    </xf>
    <xf numFmtId="0" fontId="18" fillId="0" borderId="0" xfId="0" applyNumberFormat="1" applyFont="1" applyFill="1" applyBorder="1" applyAlignment="1" applyProtection="1"/>
    <xf numFmtId="14" fontId="18" fillId="0" borderId="0" xfId="0" applyNumberFormat="1" applyFont="1" applyFill="1" applyBorder="1" applyAlignment="1" applyProtection="1"/>
    <xf numFmtId="1" fontId="18" fillId="0" borderId="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43" fontId="2" fillId="0" borderId="12" xfId="0" applyNumberFormat="1" applyFont="1" applyBorder="1"/>
    <xf numFmtId="43" fontId="18" fillId="0" borderId="4" xfId="0" applyNumberFormat="1" applyFont="1" applyBorder="1"/>
    <xf numFmtId="0" fontId="2" fillId="0" borderId="11" xfId="2" applyFont="1" applyBorder="1"/>
    <xf numFmtId="0" fontId="10" fillId="4" borderId="24" xfId="2" applyFont="1" applyFill="1" applyBorder="1" applyAlignment="1">
      <alignment horizontal="center" vertical="center" wrapText="1"/>
    </xf>
    <xf numFmtId="1" fontId="2" fillId="7" borderId="25" xfId="2" applyNumberFormat="1" applyFont="1" applyFill="1" applyBorder="1"/>
    <xf numFmtId="1" fontId="2" fillId="8" borderId="25" xfId="2" applyNumberFormat="1" applyFont="1" applyFill="1" applyBorder="1"/>
    <xf numFmtId="1" fontId="2" fillId="7" borderId="26" xfId="2" applyNumberFormat="1" applyFont="1" applyFill="1" applyBorder="1"/>
    <xf numFmtId="1" fontId="10" fillId="4" borderId="27" xfId="0" applyNumberFormat="1" applyFont="1" applyFill="1" applyBorder="1" applyAlignment="1"/>
    <xf numFmtId="0" fontId="4" fillId="0" borderId="10" xfId="2" applyBorder="1"/>
    <xf numFmtId="0" fontId="4" fillId="0" borderId="0" xfId="2" applyBorder="1"/>
    <xf numFmtId="17" fontId="1" fillId="0" borderId="0" xfId="2" applyNumberFormat="1" applyFont="1"/>
    <xf numFmtId="164" fontId="17" fillId="0" borderId="0" xfId="3" applyNumberFormat="1" applyFont="1" applyAlignment="1">
      <alignment horizontal="left"/>
    </xf>
    <xf numFmtId="0" fontId="3" fillId="0" borderId="19" xfId="4" applyBorder="1" applyAlignment="1">
      <alignment horizontal="center" wrapText="1"/>
    </xf>
    <xf numFmtId="0" fontId="3" fillId="0" borderId="23" xfId="4" applyBorder="1" applyAlignment="1">
      <alignment horizontal="center" wrapText="1"/>
    </xf>
    <xf numFmtId="0" fontId="3" fillId="0" borderId="20" xfId="4" applyBorder="1" applyAlignment="1">
      <alignment horizontal="center" wrapText="1"/>
    </xf>
    <xf numFmtId="0" fontId="3" fillId="0" borderId="21" xfId="4" applyBorder="1" applyAlignment="1">
      <alignment horizontal="center" wrapText="1"/>
    </xf>
    <xf numFmtId="0" fontId="3" fillId="0" borderId="0" xfId="4" applyBorder="1" applyAlignment="1">
      <alignment horizontal="center" wrapText="1"/>
    </xf>
    <xf numFmtId="0" fontId="3" fillId="0" borderId="22" xfId="4" applyBorder="1" applyAlignment="1">
      <alignment horizontal="center" wrapText="1"/>
    </xf>
    <xf numFmtId="0" fontId="0" fillId="0" borderId="0" xfId="0"/>
    <xf numFmtId="43" fontId="0" fillId="0" borderId="3" xfId="3" applyFont="1" applyBorder="1" applyAlignment="1">
      <alignment horizontal="center"/>
    </xf>
    <xf numFmtId="0" fontId="10" fillId="5" borderId="16" xfId="4" applyFont="1" applyFill="1" applyBorder="1" applyAlignment="1">
      <alignment horizontal="center" wrapText="1"/>
    </xf>
    <xf numFmtId="0" fontId="10" fillId="5" borderId="17" xfId="4" applyFont="1" applyFill="1" applyBorder="1" applyAlignment="1">
      <alignment horizontal="center" wrapText="1"/>
    </xf>
    <xf numFmtId="0" fontId="10" fillId="5" borderId="18" xfId="4" applyFont="1" applyFill="1" applyBorder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Normal 4" xfId="4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numFmt numFmtId="35" formatCode="_(* #,##0.00_);_(* \(#,##0.00\);_(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numFmt numFmtId="35" formatCode="_(* #,##0.00_);_(* \(#,##0.00\);_(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numFmt numFmtId="35" formatCode="_(* #,##0.00_);_(* \(#,##0.00\);_(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numFmt numFmtId="35" formatCode="_(* #,##0.00_);_(* \(#,##0.00\);_(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color theme="0" tint="-4.9989318521683403E-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numFmt numFmtId="35" formatCode="_(* #,##0.00_);_(* \(#,##0.00\);_(* &quot;-&quot;??_);_(@_)"/>
      <fill>
        <patternFill patternType="solid">
          <fgColor indexed="64"/>
          <bgColor theme="0" tint="-0.499984740745262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0" tint="-4.9989318521683403E-2"/>
      </font>
    </dxf>
    <dxf>
      <font>
        <strike val="0"/>
        <outline val="0"/>
        <shadow val="0"/>
        <u val="none"/>
        <vertAlign val="baseline"/>
        <color theme="0" tint="-4.9989318521683403E-2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wrapText="1" readingOrder="0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relative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righ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6F03437-D0F5-4FBE-907D-B58E03740C7B}" type="doc">
      <dgm:prSet loTypeId="urn:microsoft.com/office/officeart/2005/8/layout/vList2" loCatId="list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en-US"/>
        </a:p>
      </dgm:t>
    </dgm:pt>
    <dgm:pt modelId="{0E2A5000-FD57-428C-97A7-975D054EE84F}">
      <dgm:prSet phldrT="[Texto]"/>
      <dgm:spPr/>
      <dgm:t>
        <a:bodyPr/>
        <a:lstStyle/>
        <a:p>
          <a:r>
            <a:rPr lang="en-US"/>
            <a:t>Llenar todos los datos en esta sección</a:t>
          </a:r>
        </a:p>
      </dgm:t>
    </dgm:pt>
    <dgm:pt modelId="{2F243A26-3ADC-4BA5-A14B-68DEC8902AB4}" type="sibTrans" cxnId="{561C285A-DF41-4DF5-A5FE-891A11E2FC73}">
      <dgm:prSet/>
      <dgm:spPr/>
      <dgm:t>
        <a:bodyPr/>
        <a:lstStyle/>
        <a:p>
          <a:endParaRPr lang="en-US"/>
        </a:p>
      </dgm:t>
    </dgm:pt>
    <dgm:pt modelId="{7F719834-7265-4F93-BA16-7A0E099EB5A2}" type="parTrans" cxnId="{561C285A-DF41-4DF5-A5FE-891A11E2FC73}">
      <dgm:prSet/>
      <dgm:spPr/>
      <dgm:t>
        <a:bodyPr/>
        <a:lstStyle/>
        <a:p>
          <a:endParaRPr lang="en-US"/>
        </a:p>
      </dgm:t>
    </dgm:pt>
    <dgm:pt modelId="{B86214D9-35C2-47F1-A14D-CEDC7887AD78}" type="pres">
      <dgm:prSet presAssocID="{16F03437-D0F5-4FBE-907D-B58E03740C7B}" presName="linear" presStyleCnt="0">
        <dgm:presLayoutVars>
          <dgm:animLvl val="lvl"/>
          <dgm:resizeHandles val="exact"/>
        </dgm:presLayoutVars>
      </dgm:prSet>
      <dgm:spPr/>
      <dgm:t>
        <a:bodyPr/>
        <a:lstStyle/>
        <a:p>
          <a:endParaRPr lang="es-BO"/>
        </a:p>
      </dgm:t>
    </dgm:pt>
    <dgm:pt modelId="{8C887911-F509-4656-BDEF-2BCE11E357A3}" type="pres">
      <dgm:prSet presAssocID="{0E2A5000-FD57-428C-97A7-975D054EE84F}" presName="parentText" presStyleLbl="node1" presStyleIdx="0" presStyleCnt="1" custLinFactNeighborX="52206" custLinFactNeighborY="-48514">
        <dgm:presLayoutVars>
          <dgm:chMax val="0"/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561C285A-DF41-4DF5-A5FE-891A11E2FC73}" srcId="{16F03437-D0F5-4FBE-907D-B58E03740C7B}" destId="{0E2A5000-FD57-428C-97A7-975D054EE84F}" srcOrd="0" destOrd="0" parTransId="{7F719834-7265-4F93-BA16-7A0E099EB5A2}" sibTransId="{2F243A26-3ADC-4BA5-A14B-68DEC8902AB4}"/>
    <dgm:cxn modelId="{272BF539-2689-448C-8812-401954C4C151}" type="presOf" srcId="{16F03437-D0F5-4FBE-907D-B58E03740C7B}" destId="{B86214D9-35C2-47F1-A14D-CEDC7887AD78}" srcOrd="0" destOrd="0" presId="urn:microsoft.com/office/officeart/2005/8/layout/vList2"/>
    <dgm:cxn modelId="{D44DD3BA-151F-4842-AAE4-2B95A5BC9684}" type="presOf" srcId="{0E2A5000-FD57-428C-97A7-975D054EE84F}" destId="{8C887911-F509-4656-BDEF-2BCE11E357A3}" srcOrd="0" destOrd="0" presId="urn:microsoft.com/office/officeart/2005/8/layout/vList2"/>
    <dgm:cxn modelId="{36C6B16A-732B-46BD-AB9C-B986DB7D308E}" type="presParOf" srcId="{B86214D9-35C2-47F1-A14D-CEDC7887AD78}" destId="{8C887911-F509-4656-BDEF-2BCE11E357A3}" srcOrd="0" destOrd="0" presId="urn:microsoft.com/office/officeart/2005/8/layout/vList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C887911-F509-4656-BDEF-2BCE11E357A3}">
      <dsp:nvSpPr>
        <dsp:cNvPr id="0" name=""/>
        <dsp:cNvSpPr/>
      </dsp:nvSpPr>
      <dsp:spPr>
        <a:xfrm>
          <a:off x="0" y="0"/>
          <a:ext cx="3548344" cy="1034280"/>
        </a:xfrm>
        <a:prstGeom prst="roundRect">
          <a:avLst/>
        </a:prstGeom>
        <a:solidFill>
          <a:schemeClr val="accent5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060" tIns="99060" rIns="99060" bIns="99060" numCol="1" spcCol="1270" anchor="ctr" anchorCtr="0">
          <a:noAutofit/>
        </a:bodyPr>
        <a:lstStyle/>
        <a:p>
          <a:pPr lvl="0" algn="l" defTabSz="11557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600" kern="1200"/>
            <a:t>Llenar todos los datos en esta sección</a:t>
          </a:r>
        </a:p>
      </dsp:txBody>
      <dsp:txXfrm>
        <a:off x="50489" y="50489"/>
        <a:ext cx="3447366" cy="93330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2">
  <dgm:title val=""/>
  <dgm:desc val=""/>
  <dgm:catLst>
    <dgm:cat type="list" pri="3000"/>
    <dgm:cat type="convert" pri="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2" srcId="1" destId="11" srcOrd="0" destOrd="0"/>
        <dgm:cxn modelId="23" srcId="2" destId="21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animLvl val="lvl"/>
      <dgm:resizeHandles val="exact"/>
    </dgm:varLst>
    <dgm:alg type="lin">
      <dgm:param type="linDir" val="fromT"/>
      <dgm:param type="vertAlign" val="mid"/>
    </dgm:alg>
    <dgm:shape xmlns:r="http://schemas.openxmlformats.org/officeDocument/2006/relationships" r:blip="">
      <dgm:adjLst/>
    </dgm:shape>
    <dgm:presOf/>
    <dgm:constrLst>
      <dgm:constr type="w" for="ch" forName="parentText" refType="w"/>
      <dgm:constr type="h" for="ch" forName="parentText" refType="primFontSz" refFor="ch" refForName="parentText" fact="0.52"/>
      <dgm:constr type="w" for="ch" forName="childText" refType="w"/>
      <dgm:constr type="h" for="ch" forName="childText" refType="primFontSz" refFor="ch" refForName="parentText" fact="0.46"/>
      <dgm:constr type="h" for="ch" forName="parentText" op="equ"/>
      <dgm:constr type="primFontSz" for="ch" forName="parentText" op="equ" val="65"/>
      <dgm:constr type="primFontSz" for="ch" forName="childText" refType="primFontSz" refFor="ch" refForName="parentText" op="equ"/>
      <dgm:constr type="h" for="ch" forName="spacer" refType="primFontSz" refFor="ch" refForName="parentText" fact="0.08"/>
    </dgm:constrLst>
    <dgm:ruleLst>
      <dgm:rule type="primFontSz" for="ch" forName="parentText" val="5" fact="NaN" max="NaN"/>
    </dgm:ruleLst>
    <dgm:forEach name="Name0" axis="ch" ptType="node">
      <dgm:layoutNode name="parentText" styleLbl="node1">
        <dgm:varLst>
          <dgm:chMax val="0"/>
          <dgm:bulletEnabled val="1"/>
        </dgm:varLst>
        <dgm:alg type="tx">
          <dgm:param type="parTxLTRAlign" val="l"/>
          <dgm:param type="parTxRTLAlign" val="r"/>
        </dgm:alg>
        <dgm:shape xmlns:r="http://schemas.openxmlformats.org/officeDocument/2006/relationships" type="roundRect" r:blip="">
          <dgm:adjLst/>
        </dgm:shape>
        <dgm:presOf axis="self"/>
        <dgm:constrLst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h" val="INF" fact="NaN" max="NaN"/>
        </dgm:ruleLst>
      </dgm:layoutNode>
      <dgm:choose name="Name1">
        <dgm:if name="Name2" axis="ch" ptType="node" func="cnt" op="gte" val="1">
          <dgm:layoutNode name="childText" styleLbl="revTx">
            <dgm:varLst>
              <dgm:bulletEnabled val="1"/>
            </dgm:varLst>
            <dgm:alg type="tx">
              <dgm:param type="stBulletLvl" val="1"/>
              <dgm:param type="lnSpAfChP" val="20"/>
            </dgm:alg>
            <dgm:shape xmlns:r="http://schemas.openxmlformats.org/officeDocument/2006/relationships" type="rect" r:blip="">
              <dgm:adjLst/>
            </dgm:shape>
            <dgm:presOf axis="des" ptType="node"/>
            <dgm:constrLst>
              <dgm:constr type="tMarg" refType="primFontSz" fact="0.1"/>
              <dgm:constr type="bMarg" refType="primFontSz" fact="0.1"/>
              <dgm:constr type="lMarg" refType="w" fact="0.09"/>
            </dgm:constrLst>
            <dgm:ruleLst>
              <dgm:rule type="h" val="INF" fact="NaN" max="NaN"/>
            </dgm:ruleLst>
          </dgm:layoutNode>
        </dgm:if>
        <dgm:else name="Name3">
          <dgm:choose name="Name4">
            <dgm:if name="Name5" axis="par ch" ptType="doc node" func="cnt" op="gte" val="2">
              <dgm:forEach name="Name6" axis="followSib" ptType="sibTrans" cnt="1">
                <dgm:layoutNode name="spacer">
                  <dgm:alg type="sp"/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</dgm:layoutNode>
              </dgm:forEach>
            </dgm:if>
            <dgm:else name="Name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1199029</xdr:colOff>
      <xdr:row>0</xdr:row>
      <xdr:rowOff>101972</xdr:rowOff>
    </xdr:from>
    <xdr:to>
      <xdr:col>10</xdr:col>
      <xdr:colOff>661148</xdr:colOff>
      <xdr:row>6</xdr:row>
      <xdr:rowOff>134470</xdr:rowOff>
    </xdr:to>
    <xdr:graphicFrame macro="">
      <xdr:nvGraphicFramePr>
        <xdr:cNvPr id="3" name="2 Diagrama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1401535</xdr:colOff>
      <xdr:row>0</xdr:row>
      <xdr:rowOff>176893</xdr:rowOff>
    </xdr:from>
    <xdr:to>
      <xdr:col>17</xdr:col>
      <xdr:colOff>545086</xdr:colOff>
      <xdr:row>6</xdr:row>
      <xdr:rowOff>68173</xdr:rowOff>
    </xdr:to>
    <xdr:grpSp>
      <xdr:nvGrpSpPr>
        <xdr:cNvPr id="2" name="1 Grupo"/>
        <xdr:cNvGrpSpPr/>
      </xdr:nvGrpSpPr>
      <xdr:grpSpPr>
        <a:xfrm>
          <a:off x="8123464" y="176893"/>
          <a:ext cx="3552265" cy="1034280"/>
          <a:chOff x="0" y="0"/>
          <a:chExt cx="3552265" cy="1034280"/>
        </a:xfrm>
      </xdr:grpSpPr>
      <xdr:sp macro="" textlink="">
        <xdr:nvSpPr>
          <xdr:cNvPr id="3" name="2 Rectángulo redondeado"/>
          <xdr:cNvSpPr/>
        </xdr:nvSpPr>
        <xdr:spPr>
          <a:xfrm>
            <a:off x="0" y="0"/>
            <a:ext cx="3552265" cy="1034280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5">
              <a:hueOff val="0"/>
              <a:satOff val="0"/>
              <a:lumOff val="0"/>
              <a:alphaOff val="0"/>
            </a:schemeClr>
          </a:fillRef>
          <a:effectRef idx="0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3 Rectángulo"/>
          <xdr:cNvSpPr/>
        </xdr:nvSpPr>
        <xdr:spPr>
          <a:xfrm>
            <a:off x="50489" y="50489"/>
            <a:ext cx="3451287" cy="933302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99060" tIns="99060" rIns="99060" bIns="99060" numCol="1" spcCol="1270" anchor="ctr" anchorCtr="0">
            <a:noAutofit/>
          </a:bodyPr>
          <a:lstStyle/>
          <a:p>
            <a:pPr lvl="0" algn="l" defTabSz="11557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2600" kern="1200"/>
              <a:t>No se llena nada, sale por defecto los datos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78442</xdr:colOff>
      <xdr:row>11</xdr:row>
      <xdr:rowOff>100852</xdr:rowOff>
    </xdr:from>
    <xdr:to>
      <xdr:col>6</xdr:col>
      <xdr:colOff>582707</xdr:colOff>
      <xdr:row>20</xdr:row>
      <xdr:rowOff>134470</xdr:rowOff>
    </xdr:to>
    <xdr:grpSp>
      <xdr:nvGrpSpPr>
        <xdr:cNvPr id="2" name="1 Grupo"/>
        <xdr:cNvGrpSpPr/>
      </xdr:nvGrpSpPr>
      <xdr:grpSpPr>
        <a:xfrm>
          <a:off x="2375648" y="1994646"/>
          <a:ext cx="3597088" cy="1445559"/>
          <a:chOff x="0" y="0"/>
          <a:chExt cx="3597088" cy="1034280"/>
        </a:xfrm>
      </xdr:grpSpPr>
      <xdr:sp macro="" textlink="">
        <xdr:nvSpPr>
          <xdr:cNvPr id="3" name="2 Rectángulo redondeado"/>
          <xdr:cNvSpPr/>
        </xdr:nvSpPr>
        <xdr:spPr>
          <a:xfrm>
            <a:off x="0" y="0"/>
            <a:ext cx="3552265" cy="1034280"/>
          </a:xfrm>
          <a:prstGeom prst="roundRect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5">
              <a:hueOff val="0"/>
              <a:satOff val="0"/>
              <a:lumOff val="0"/>
              <a:alphaOff val="0"/>
            </a:schemeClr>
          </a:fillRef>
          <a:effectRef idx="0">
            <a:schemeClr val="accent5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</xdr:sp>
      <xdr:sp macro="" textlink="">
        <xdr:nvSpPr>
          <xdr:cNvPr id="4" name="3 Rectángulo"/>
          <xdr:cNvSpPr/>
        </xdr:nvSpPr>
        <xdr:spPr>
          <a:xfrm>
            <a:off x="50489" y="50489"/>
            <a:ext cx="3546599" cy="70030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99060" tIns="99060" rIns="99060" bIns="99060" numCol="1" spcCol="1270" anchor="ctr" anchorCtr="0">
            <a:noAutofit/>
          </a:bodyPr>
          <a:lstStyle/>
          <a:p>
            <a:pPr lvl="0" algn="l" defTabSz="11557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en-US" sz="1600" kern="1200"/>
              <a:t>con boton derecho sobre área amarilla, presionar.</a:t>
            </a:r>
            <a:r>
              <a:rPr lang="en-US" sz="1600" kern="1200" baseline="0"/>
              <a:t> Seleccionar </a:t>
            </a:r>
            <a:r>
              <a:rPr lang="en-US" sz="1600" kern="1200"/>
              <a:t>"actualizar". Lo demas no tocar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1" refreshedDate="42144.49942349537" createdVersion="3" refreshedVersion="5" minRefreshableVersion="3" recordCount="24">
  <cacheSource type="worksheet">
    <worksheetSource name="Tabla1"/>
  </cacheSource>
  <cacheFields count="11">
    <cacheField name="nro A OCULTAR" numFmtId="0">
      <sharedItems containsSemiMixedTypes="0" containsString="0" containsNumber="1" containsInteger="1" minValue="1" maxValue="24"/>
    </cacheField>
    <cacheField name="Número para AFP" numFmtId="0">
      <sharedItems containsString="0" containsBlank="1" containsNumber="1" containsInteger="1" minValue="1" maxValue="1"/>
    </cacheField>
    <cacheField name="AFP" numFmtId="0">
      <sharedItems containsBlank="1" count="3">
        <s v="FUTURO "/>
        <s v="PREVISION"/>
        <m/>
      </sharedItems>
    </cacheField>
    <cacheField name="TIPO" numFmtId="0">
      <sharedItems containsBlank="1"/>
    </cacheField>
    <cacheField name="NRO CI" numFmtId="0">
      <sharedItems containsString="0" containsBlank="1" containsNumber="1" containsInteger="1" minValue="3840761" maxValue="4560711"/>
    </cacheField>
    <cacheField name="EXT." numFmtId="0">
      <sharedItems containsBlank="1"/>
    </cacheField>
    <cacheField name="NUA" numFmtId="0">
      <sharedItems containsString="0" containsBlank="1" containsNumber="1" containsInteger="1" minValue="5552266" maxValue="36184524"/>
    </cacheField>
    <cacheField name="NOMBRE DEL AFILIADO" numFmtId="0">
      <sharedItems containsBlank="1"/>
    </cacheField>
    <cacheField name="NOVEDAD I/R/L/S" numFmtId="0">
      <sharedItems containsBlank="1"/>
    </cacheField>
    <cacheField name="FECHA DE NOVEDAD" numFmtId="14">
      <sharedItems containsNonDate="0" containsDate="1" containsString="0" containsBlank="1" minDate="2015-05-12T00:00:00" maxDate="2015-05-13T00:00:00"/>
    </cacheField>
    <cacheField name="TOTAL GANADO" numFmtId="43">
      <sharedItems containsString="0" containsBlank="1" containsNumber="1" containsInteger="1" minValue="20000" maxValue="4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n v="1"/>
    <n v="1"/>
    <x v="0"/>
    <s v="CI"/>
    <n v="3840761"/>
    <s v="SC"/>
    <n v="5552266"/>
    <s v="PERLA LINDA PERLACIOS ADORNO"/>
    <m/>
    <m/>
    <n v="42500"/>
  </r>
  <r>
    <n v="2"/>
    <n v="1"/>
    <x v="1"/>
    <s v="CI"/>
    <n v="4560711"/>
    <s v="SC"/>
    <n v="36184524"/>
    <s v="NICOLAS VARGAS ARENAS"/>
    <s v="I"/>
    <d v="2015-05-12T00:00:00"/>
    <n v="20000"/>
  </r>
  <r>
    <n v="3"/>
    <m/>
    <x v="2"/>
    <m/>
    <m/>
    <m/>
    <m/>
    <m/>
    <m/>
    <m/>
    <m/>
  </r>
  <r>
    <n v="4"/>
    <m/>
    <x v="2"/>
    <m/>
    <m/>
    <m/>
    <m/>
    <m/>
    <m/>
    <m/>
    <m/>
  </r>
  <r>
    <n v="5"/>
    <m/>
    <x v="2"/>
    <m/>
    <m/>
    <m/>
    <m/>
    <m/>
    <m/>
    <m/>
    <m/>
  </r>
  <r>
    <n v="6"/>
    <m/>
    <x v="2"/>
    <m/>
    <m/>
    <m/>
    <m/>
    <m/>
    <m/>
    <m/>
    <m/>
  </r>
  <r>
    <n v="7"/>
    <m/>
    <x v="2"/>
    <m/>
    <m/>
    <m/>
    <m/>
    <m/>
    <m/>
    <m/>
    <m/>
  </r>
  <r>
    <n v="8"/>
    <m/>
    <x v="2"/>
    <m/>
    <m/>
    <m/>
    <m/>
    <m/>
    <m/>
    <m/>
    <m/>
  </r>
  <r>
    <n v="9"/>
    <m/>
    <x v="2"/>
    <m/>
    <m/>
    <m/>
    <m/>
    <m/>
    <m/>
    <m/>
    <m/>
  </r>
  <r>
    <n v="10"/>
    <m/>
    <x v="2"/>
    <m/>
    <m/>
    <m/>
    <m/>
    <m/>
    <m/>
    <m/>
    <m/>
  </r>
  <r>
    <n v="11"/>
    <m/>
    <x v="2"/>
    <m/>
    <m/>
    <m/>
    <m/>
    <m/>
    <m/>
    <m/>
    <m/>
  </r>
  <r>
    <n v="12"/>
    <m/>
    <x v="2"/>
    <m/>
    <m/>
    <m/>
    <m/>
    <m/>
    <m/>
    <m/>
    <m/>
  </r>
  <r>
    <n v="13"/>
    <m/>
    <x v="2"/>
    <m/>
    <m/>
    <m/>
    <m/>
    <m/>
    <m/>
    <m/>
    <m/>
  </r>
  <r>
    <n v="14"/>
    <m/>
    <x v="2"/>
    <m/>
    <m/>
    <m/>
    <m/>
    <m/>
    <m/>
    <m/>
    <m/>
  </r>
  <r>
    <n v="15"/>
    <m/>
    <x v="2"/>
    <m/>
    <m/>
    <m/>
    <m/>
    <m/>
    <m/>
    <m/>
    <m/>
  </r>
  <r>
    <n v="16"/>
    <m/>
    <x v="2"/>
    <m/>
    <m/>
    <m/>
    <m/>
    <m/>
    <m/>
    <m/>
    <m/>
  </r>
  <r>
    <n v="17"/>
    <m/>
    <x v="2"/>
    <m/>
    <m/>
    <m/>
    <m/>
    <m/>
    <m/>
    <m/>
    <m/>
  </r>
  <r>
    <n v="18"/>
    <m/>
    <x v="2"/>
    <m/>
    <m/>
    <m/>
    <m/>
    <m/>
    <m/>
    <m/>
    <m/>
  </r>
  <r>
    <n v="19"/>
    <m/>
    <x v="2"/>
    <m/>
    <m/>
    <m/>
    <m/>
    <m/>
    <m/>
    <m/>
    <m/>
  </r>
  <r>
    <n v="20"/>
    <m/>
    <x v="2"/>
    <m/>
    <m/>
    <m/>
    <m/>
    <m/>
    <m/>
    <m/>
    <m/>
  </r>
  <r>
    <n v="21"/>
    <m/>
    <x v="2"/>
    <m/>
    <m/>
    <m/>
    <m/>
    <m/>
    <m/>
    <m/>
    <m/>
  </r>
  <r>
    <n v="22"/>
    <m/>
    <x v="2"/>
    <m/>
    <m/>
    <m/>
    <m/>
    <m/>
    <m/>
    <m/>
    <m/>
  </r>
  <r>
    <n v="23"/>
    <m/>
    <x v="2"/>
    <m/>
    <m/>
    <m/>
    <m/>
    <m/>
    <m/>
    <m/>
    <m/>
  </r>
  <r>
    <n v="24"/>
    <m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showCalcMbrs="0" useAutoFormatting="1" itemPrintTitles="1" createdVersion="3" indent="0" outline="1" outlineData="1" multipleFieldFilters="0">
  <location ref="A3:B6" firstHeaderRow="1" firstDataRow="1" firstDataCol="1"/>
  <pivotFields count="11">
    <pivotField showAll="0" defaultSubtotal="0"/>
    <pivotField showAll="0" defaultSubtotal="0"/>
    <pivotField axis="axisRow" showAll="0">
      <items count="4">
        <item x="0"/>
        <item x="1"/>
        <item h="1" x="2"/>
        <item t="default"/>
      </items>
    </pivotField>
    <pivotField showAll="0"/>
    <pivotField showAll="0" defaultSubtotal="0"/>
    <pivotField showAll="0" defaultSubtotal="0"/>
    <pivotField showAll="0"/>
    <pivotField showAll="0"/>
    <pivotField showAll="0"/>
    <pivotField numFmtId="14" showAll="0"/>
    <pivotField dataField="1" numFmtId="43"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a de TOTAL GANADO" fld="10" baseField="0" baseItem="0" numFmtId="43"/>
  </dataFields>
  <formats count="4">
    <format dxfId="42">
      <pivotArea outline="0" collapsedLevelsAreSubtotals="1" fieldPosition="0"/>
    </format>
    <format dxfId="41">
      <pivotArea dataOnly="0" labelOnly="1" outline="0" axis="axisValues" fieldPosition="0"/>
    </format>
    <format dxfId="40">
      <pivotArea collapsedLevelsAreSubtotals="1" fieldPosition="0">
        <references count="1">
          <reference field="2" count="0"/>
        </references>
      </pivotArea>
    </format>
    <format dxfId="39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a1" displayName="Tabla1" ref="A9:K34" totalsRowCount="1" headerRowDxfId="87">
  <autoFilter ref="A9:K33"/>
  <sortState ref="A10:K33">
    <sortCondition ref="A9:A33"/>
  </sortState>
  <tableColumns count="11">
    <tableColumn id="31" name="nro A OCULTAR" dataDxfId="86" totalsRowDxfId="85"/>
    <tableColumn id="27" name="Número para AFP" dataDxfId="84" totalsRowDxfId="83"/>
    <tableColumn id="3" name="AFP" dataDxfId="82" totalsRowDxfId="81"/>
    <tableColumn id="6" name="TIPO" dataDxfId="80" totalsRowDxfId="79"/>
    <tableColumn id="29" name="NRO CI" dataDxfId="78" totalsRowDxfId="77"/>
    <tableColumn id="28" name="EXT." dataDxfId="76" totalsRowDxfId="75"/>
    <tableColumn id="4" name="NUA" dataDxfId="74" totalsRowDxfId="73"/>
    <tableColumn id="5" name="NOMBRE DEL AFILIADO" dataDxfId="72" totalsRowDxfId="71"/>
    <tableColumn id="25" name="NOVEDAD I/R/L/S" dataDxfId="70" totalsRowDxfId="69"/>
    <tableColumn id="26" name="FECHA DE NOVEDAD" dataDxfId="68" totalsRowDxfId="67"/>
    <tableColumn id="24" name="TOTAL GANADO" totalsRowFunction="sum" dataDxfId="66" totalsRowDxfId="65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a16" displayName="Tabla16" ref="A8:N30" totalsRowCount="1" headerRowDxfId="64">
  <autoFilter ref="A8:N29"/>
  <tableColumns count="14">
    <tableColumn id="1" name="No" totalsRowDxfId="63" dataCellStyle="Normal 2"/>
    <tableColumn id="2" name="(13) TIPO" dataDxfId="62" totalsRowDxfId="61" dataCellStyle="Normal 2">
      <calculatedColumnFormula>+'(paso 1) llenar Planillas AFP '!D10</calculatedColumnFormula>
    </tableColumn>
    <tableColumn id="3" name="(14) Nº" dataDxfId="60" totalsRowDxfId="59" dataCellStyle="Normal 2">
      <calculatedColumnFormula>+'(paso 1) llenar Planillas AFP '!E10</calculatedColumnFormula>
    </tableColumn>
    <tableColumn id="4" name="EXTENSIÓN" totalsRowDxfId="58" dataCellStyle="Normal 2">
      <calculatedColumnFormula>+'(paso 1) llenar Planillas AFP '!F10</calculatedColumnFormula>
    </tableColumn>
    <tableColumn id="5" name="(15) NUA/CUA" totalsRowDxfId="57" dataCellStyle="Normal 2">
      <calculatedColumnFormula>+'(paso 1) llenar Planillas AFP '!G10</calculatedColumnFormula>
    </tableColumn>
    <tableColumn id="6" name="(A) 1er. APELLIDO (PATERNO)" totalsRowDxfId="56" dataCellStyle="Normal 2">
      <calculatedColumnFormula>+'(paso 1) llenar Planillas AFP '!H10</calculatedColumnFormula>
    </tableColumn>
    <tableColumn id="11" name="(F) DEPARTAMENTO" totalsRowDxfId="55" dataCellStyle="Normal 2"/>
    <tableColumn id="12" name="(17) NOVEDAD I/R/L/S" totalsRowDxfId="54" dataCellStyle="Normal 2"/>
    <tableColumn id="13" name="(18) FECHA NOVEDAD dd/mm/aaaa " dataDxfId="53" totalsRowDxfId="52" dataCellStyle="Normal 2"/>
    <tableColumn id="14" name="(19) DÍAS COTIZADOS" totalsRowDxfId="51" dataCellStyle="Normal 2"/>
    <tableColumn id="15" name="(21) TOTAL GANADO SOLIDARIO (SIN CONSIDERAR TOPE DE 60 SALARIOS MÍNIMOS NACIONALES)" dataDxfId="50" totalsRowDxfId="49" dataCellStyle="Normal 2">
      <calculatedColumnFormula>+'(paso 1) llenar Planillas AFP '!K10</calculatedColumnFormula>
    </tableColumn>
    <tableColumn id="16" name="22)  TOTAL GANADO SOLIDARIO MENOS BS. 13,000 (SI LA DIFERENCIA ES POSITIVA)" totalsRowFunction="sum" dataDxfId="48" totalsRowDxfId="47" dataCellStyle="Normal 2">
      <calculatedColumnFormula>IF((Tabla16[[#This Row],[(21) TOTAL GANADO SOLIDARIO (SIN CONSIDERAR TOPE DE 60 SALARIOS MÍNIMOS NACIONALES)]]-13000)&lt;0,0,Tabla16[[#This Row],[(21) TOTAL GANADO SOLIDARIO (SIN CONSIDERAR TOPE DE 60 SALARIOS MÍNIMOS NACIONALES)]]-13000)</calculatedColumnFormula>
    </tableColumn>
    <tableColumn id="17" name="(23)  TOTAL GANADO SOLIDARIO MENOS BS. 25,000 (SI LA DIFERENCIA ES POSITIVA" totalsRowFunction="sum" dataDxfId="46" totalsRowDxfId="45" dataCellStyle="Normal 2">
      <calculatedColumnFormula>IF((Tabla16[[#This Row],[(21) TOTAL GANADO SOLIDARIO (SIN CONSIDERAR TOPE DE 60 SALARIOS MÍNIMOS NACIONALES)]]-25000)&lt;0,0,Tabla16[[#This Row],[(21) TOTAL GANADO SOLIDARIO (SIN CONSIDERAR TOPE DE 60 SALARIOS MÍNIMOS NACIONALES)]]-25000)</calculatedColumnFormula>
    </tableColumn>
    <tableColumn id="18" name="(24)  TOTAL GANADO SOLIDARIO MENOS BS. 35,000 (SI LA DIFERENCIA ES POSITIVA" totalsRowFunction="sum" dataDxfId="44" totalsRowDxfId="43" dataCellStyle="Normal 2">
      <calculatedColumnFormula>IF((Tabla16[[#This Row],[(21) TOTAL GANADO SOLIDARIO (SIN CONSIDERAR TOPE DE 60 SALARIOS MÍNIMOS NACIONALES)]]-35000)&lt;0,0,Tabla16[[#This Row],[(21) TOTAL GANADO SOLIDARIO (SIN CONSIDERAR TOPE DE 60 SALARIOS MÍNIMOS NACIONALES)]]-35000)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a3" displayName="Tabla3" ref="A9:H12" totalsRowCount="1" headerRowDxfId="38" totalsRowDxfId="37">
  <autoFilter ref="A9:H11"/>
  <tableColumns count="8">
    <tableColumn id="1" name="Para " totalsRowDxfId="36" dataCellStyle="Normal 2"/>
    <tableColumn id="2" name="TOTAL GANADO" totalsRowFunction="sum" totalsRowDxfId="35" dataCellStyle="Millares"/>
    <tableColumn id="3" name="12,21%" totalsRowFunction="sum" totalsRowDxfId="34" dataCellStyle="Millares"/>
    <tableColumn id="4" name="0,50%" totalsRowFunction="sum" totalsRowDxfId="33" dataCellStyle="Millares"/>
    <tableColumn id="5" name="2,00%" totalsRowFunction="sum" totalsRowDxfId="32" dataCellStyle="Millares"/>
    <tableColumn id="6" name="1,71%" totalsRowFunction="sum" totalsRowDxfId="31" dataCellStyle="Millares"/>
    <tableColumn id="7" name="3,00%" totalsRowFunction="sum" totalsRowDxfId="30" dataCellStyle="Millares"/>
    <tableColumn id="8" name="10%" totalsRowFunction="custom" dataDxfId="29" totalsRowDxfId="28" dataCellStyle="Normal 2">
      <totalsRowFormula>+Tabla3[[#Totals],[TOTAL GANADO]]*0.1</totalsRow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la46" displayName="Tabla46" ref="A19:E22" totalsRowCount="1" headerRowDxfId="27" dataDxfId="26" totalsRowDxfId="25" dataCellStyle="Millares">
  <autoFilter ref="A19:E21"/>
  <tableColumns count="5">
    <tableColumn id="5" name="para: " totalsRowLabel="Subt. BOB" dataDxfId="24" totalsRowDxfId="23" dataCellStyle="Normal 2"/>
    <tableColumn id="1" name="Aportes para el FCI" totalsRowFunction="sum" dataDxfId="22" totalsRowDxfId="21" dataCellStyle="Normal 2">
      <calculatedColumnFormula>+C10+F10</calculatedColumnFormula>
    </tableColumn>
    <tableColumn id="2" name="Aporte patronal" totalsRowFunction="sum" dataDxfId="20" totalsRowDxfId="19" dataCellStyle="Normal 2">
      <calculatedColumnFormula>+E10</calculatedColumnFormula>
    </tableColumn>
    <tableColumn id="3" name="Fondo Solidario" totalsRowFunction="sum" dataDxfId="18" totalsRowDxfId="17" dataCellStyle="Normal 2">
      <calculatedColumnFormula>+D10+G10</calculatedColumnFormula>
    </tableColumn>
    <tableColumn id="4" name="Fondo Nacional Solidario" totalsRowFunction="sum" dataDxfId="16" totalsRowDxfId="15" dataCellStyle="Normal 2">
      <calculatedColumnFormula>+'(paso 2) no hacer nada'!R9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4" name="Tabla6" displayName="Tabla6" ref="A34:F43" totalsRowCount="1" headerRowDxfId="14" dataDxfId="13" tableBorderDxfId="12" headerRowCellStyle="Millares" dataCellStyle="Millares">
  <autoFilter ref="A34:F42"/>
  <tableColumns count="6">
    <tableColumn id="1" name="Detalle de los cheques:" dataDxfId="11" totalsRowDxfId="6" dataCellStyle="Normal 2"/>
    <tableColumn id="2" name="Columna1" dataDxfId="10" totalsRowDxfId="5" dataCellStyle="Millares"/>
    <tableColumn id="3" name="Columna2" dataDxfId="9" totalsRowDxfId="4" dataCellStyle="Millares"/>
    <tableColumn id="4" name="Columna3" dataDxfId="8" totalsRowDxfId="3" dataCellStyle="Millares"/>
    <tableColumn id="5" name="Monto Bs" totalsRowFunction="sum" dataDxfId="0" totalsRowDxfId="2" dataCellStyle="Millares 2">
      <calculatedColumnFormula>+B20</calculatedColumnFormula>
    </tableColumn>
    <tableColumn id="6" name="Monto Usd" totalsRowFunction="sum" dataDxfId="7" totalsRowDxfId="1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87"/>
  <sheetViews>
    <sheetView tabSelected="1" zoomScale="85" zoomScaleNormal="85" workbookViewId="0">
      <selection activeCell="J17" sqref="J17"/>
    </sheetView>
  </sheetViews>
  <sheetFormatPr baseColWidth="10" defaultColWidth="8.28515625" defaultRowHeight="12" customHeight="1" x14ac:dyDescent="0.2"/>
  <cols>
    <col min="1" max="1" width="7.7109375" style="1" customWidth="1"/>
    <col min="2" max="2" width="11.28515625" style="1" customWidth="1"/>
    <col min="3" max="3" width="15.85546875" style="19" customWidth="1"/>
    <col min="4" max="4" width="8.85546875" style="19" customWidth="1"/>
    <col min="5" max="5" width="16.140625" style="19" customWidth="1"/>
    <col min="6" max="6" width="7.85546875" style="1" customWidth="1"/>
    <col min="7" max="7" width="15.42578125" style="15" customWidth="1"/>
    <col min="8" max="8" width="36" style="6" customWidth="1"/>
    <col min="9" max="9" width="12.42578125" style="3" customWidth="1"/>
    <col min="10" max="10" width="12.85546875" style="3" customWidth="1"/>
    <col min="11" max="12" width="13.85546875" style="1" customWidth="1"/>
    <col min="13" max="13" width="22.7109375" style="1" customWidth="1"/>
    <col min="14" max="16384" width="8.28515625" style="1"/>
  </cols>
  <sheetData>
    <row r="1" spans="1:11" ht="9" customHeight="1" x14ac:dyDescent="0.2"/>
    <row r="2" spans="1:11" ht="18" customHeight="1" x14ac:dyDescent="0.2">
      <c r="G2" s="98"/>
    </row>
    <row r="3" spans="1:11" ht="16.5" customHeight="1" x14ac:dyDescent="0.2">
      <c r="B3" s="25"/>
      <c r="D3" s="25" t="s">
        <v>131</v>
      </c>
    </row>
    <row r="4" spans="1:11" ht="12" customHeight="1" x14ac:dyDescent="0.2">
      <c r="B4" s="25"/>
      <c r="D4" s="25" t="s">
        <v>132</v>
      </c>
    </row>
    <row r="5" spans="1:11" ht="12" customHeight="1" x14ac:dyDescent="0.2">
      <c r="B5" s="25"/>
      <c r="C5" s="1"/>
      <c r="D5" s="25" t="s">
        <v>1</v>
      </c>
      <c r="E5" s="1"/>
    </row>
    <row r="6" spans="1:11" ht="12" customHeight="1" x14ac:dyDescent="0.2">
      <c r="B6" s="25"/>
      <c r="C6" s="1"/>
      <c r="D6" s="25" t="s">
        <v>141</v>
      </c>
      <c r="E6" s="1"/>
    </row>
    <row r="7" spans="1:11" ht="12" customHeight="1" x14ac:dyDescent="0.2">
      <c r="D7" s="25" t="s">
        <v>9</v>
      </c>
    </row>
    <row r="9" spans="1:11" s="14" customFormat="1" ht="49.5" customHeight="1" x14ac:dyDescent="0.2">
      <c r="A9" s="51" t="s">
        <v>133</v>
      </c>
      <c r="B9" s="16" t="s">
        <v>26</v>
      </c>
      <c r="C9" s="16" t="s">
        <v>1</v>
      </c>
      <c r="D9" s="16" t="s">
        <v>28</v>
      </c>
      <c r="E9" s="16" t="s">
        <v>27</v>
      </c>
      <c r="F9" s="16" t="s">
        <v>30</v>
      </c>
      <c r="G9" s="16" t="s">
        <v>0</v>
      </c>
      <c r="H9" s="16" t="s">
        <v>5</v>
      </c>
      <c r="I9" s="16" t="s">
        <v>6</v>
      </c>
      <c r="J9" s="16" t="s">
        <v>8</v>
      </c>
      <c r="K9" s="16" t="s">
        <v>4</v>
      </c>
    </row>
    <row r="10" spans="1:11" ht="15" customHeight="1" x14ac:dyDescent="0.2">
      <c r="A10" s="2">
        <v>1</v>
      </c>
      <c r="B10" s="2">
        <v>1</v>
      </c>
      <c r="C10" s="5" t="s">
        <v>2</v>
      </c>
      <c r="D10" s="20" t="s">
        <v>29</v>
      </c>
      <c r="E10" s="26">
        <v>3840761</v>
      </c>
      <c r="F10" s="20" t="s">
        <v>10</v>
      </c>
      <c r="G10" s="5">
        <v>5552266</v>
      </c>
      <c r="H10" s="12" t="s">
        <v>129</v>
      </c>
      <c r="I10" s="13"/>
      <c r="J10" s="9"/>
      <c r="K10" s="22">
        <v>42500</v>
      </c>
    </row>
    <row r="11" spans="1:11" ht="15" customHeight="1" x14ac:dyDescent="0.2">
      <c r="A11" s="2">
        <v>2</v>
      </c>
      <c r="B11" s="2">
        <v>1</v>
      </c>
      <c r="C11" s="5" t="s">
        <v>3</v>
      </c>
      <c r="D11" s="20" t="s">
        <v>29</v>
      </c>
      <c r="E11" s="26">
        <v>4560711</v>
      </c>
      <c r="F11" s="20" t="s">
        <v>10</v>
      </c>
      <c r="G11" s="5">
        <v>36184524</v>
      </c>
      <c r="H11" s="12" t="s">
        <v>130</v>
      </c>
      <c r="I11" s="13" t="s">
        <v>7</v>
      </c>
      <c r="J11" s="9">
        <v>42136</v>
      </c>
      <c r="K11" s="22">
        <v>20000</v>
      </c>
    </row>
    <row r="12" spans="1:11" ht="15" customHeight="1" x14ac:dyDescent="0.2">
      <c r="A12" s="2">
        <v>3</v>
      </c>
      <c r="B12" s="2"/>
      <c r="C12" s="5"/>
      <c r="D12" s="20"/>
      <c r="E12" s="27"/>
      <c r="F12" s="19"/>
      <c r="G12" s="4"/>
      <c r="H12" s="7"/>
      <c r="I12" s="8"/>
      <c r="J12" s="9"/>
      <c r="K12" s="23"/>
    </row>
    <row r="13" spans="1:11" ht="15" customHeight="1" x14ac:dyDescent="0.2">
      <c r="A13" s="2">
        <v>4</v>
      </c>
      <c r="B13" s="2"/>
      <c r="C13" s="5"/>
      <c r="D13" s="20"/>
      <c r="E13" s="27"/>
      <c r="F13" s="19"/>
      <c r="G13" s="4"/>
      <c r="H13" s="7"/>
      <c r="I13" s="8"/>
      <c r="J13" s="9"/>
      <c r="K13" s="23"/>
    </row>
    <row r="14" spans="1:11" ht="15" customHeight="1" x14ac:dyDescent="0.2">
      <c r="A14" s="2">
        <v>5</v>
      </c>
      <c r="B14" s="2"/>
      <c r="C14" s="5"/>
      <c r="D14" s="20"/>
      <c r="E14" s="27"/>
      <c r="F14" s="19"/>
      <c r="G14" s="4"/>
      <c r="H14" s="7"/>
      <c r="I14" s="8"/>
      <c r="J14" s="9"/>
      <c r="K14" s="23"/>
    </row>
    <row r="15" spans="1:11" ht="15" customHeight="1" x14ac:dyDescent="0.2">
      <c r="A15" s="2">
        <v>6</v>
      </c>
      <c r="B15" s="2"/>
      <c r="C15" s="5"/>
      <c r="D15" s="20"/>
      <c r="E15" s="27"/>
      <c r="F15" s="19"/>
      <c r="G15" s="4"/>
      <c r="H15" s="10"/>
      <c r="I15" s="8"/>
      <c r="J15" s="9"/>
      <c r="K15" s="24"/>
    </row>
    <row r="16" spans="1:11" ht="15" customHeight="1" x14ac:dyDescent="0.2">
      <c r="A16" s="2">
        <v>7</v>
      </c>
      <c r="B16" s="2"/>
      <c r="C16" s="5"/>
      <c r="D16" s="20"/>
      <c r="E16" s="27"/>
      <c r="F16" s="19"/>
      <c r="G16" s="18"/>
      <c r="H16" s="11"/>
      <c r="I16" s="8"/>
      <c r="J16" s="9"/>
      <c r="K16" s="46"/>
    </row>
    <row r="17" spans="1:11" ht="15" customHeight="1" x14ac:dyDescent="0.2">
      <c r="A17" s="2">
        <v>8</v>
      </c>
      <c r="B17" s="2"/>
      <c r="C17" s="5"/>
      <c r="D17" s="20"/>
      <c r="E17" s="27"/>
      <c r="F17" s="19"/>
      <c r="G17" s="4"/>
      <c r="H17" s="10"/>
      <c r="I17" s="21"/>
      <c r="J17" s="9"/>
      <c r="K17" s="46"/>
    </row>
    <row r="18" spans="1:11" ht="15" customHeight="1" x14ac:dyDescent="0.2">
      <c r="A18" s="2">
        <v>9</v>
      </c>
      <c r="B18" s="2"/>
      <c r="C18" s="5"/>
      <c r="D18" s="20"/>
      <c r="E18" s="27"/>
      <c r="F18" s="19"/>
      <c r="G18" s="4"/>
      <c r="H18" s="10"/>
      <c r="I18" s="8"/>
      <c r="J18" s="9"/>
      <c r="K18" s="46"/>
    </row>
    <row r="19" spans="1:11" ht="15" customHeight="1" x14ac:dyDescent="0.2">
      <c r="A19" s="2">
        <v>10</v>
      </c>
      <c r="B19" s="2"/>
      <c r="C19" s="5"/>
      <c r="D19" s="20"/>
      <c r="E19" s="27"/>
      <c r="F19" s="19"/>
      <c r="G19" s="4"/>
      <c r="H19" s="10"/>
      <c r="I19" s="8"/>
      <c r="J19" s="9"/>
      <c r="K19" s="46"/>
    </row>
    <row r="20" spans="1:11" ht="15" customHeight="1" x14ac:dyDescent="0.2">
      <c r="A20" s="2">
        <v>11</v>
      </c>
      <c r="B20" s="2"/>
      <c r="C20" s="5"/>
      <c r="D20" s="20"/>
      <c r="E20" s="27"/>
      <c r="F20" s="19"/>
      <c r="G20" s="4"/>
      <c r="H20" s="10"/>
      <c r="I20" s="21"/>
      <c r="J20" s="9"/>
      <c r="K20" s="46"/>
    </row>
    <row r="21" spans="1:11" ht="12" customHeight="1" x14ac:dyDescent="0.2">
      <c r="A21" s="2">
        <v>12</v>
      </c>
      <c r="B21" s="2"/>
      <c r="C21" s="5"/>
      <c r="D21" s="20"/>
      <c r="E21" s="27"/>
      <c r="F21" s="19"/>
      <c r="G21" s="17"/>
      <c r="H21" s="11"/>
      <c r="I21" s="8"/>
      <c r="J21" s="9"/>
      <c r="K21" s="46"/>
    </row>
    <row r="22" spans="1:11" ht="15" customHeight="1" x14ac:dyDescent="0.2">
      <c r="A22" s="2">
        <v>13</v>
      </c>
      <c r="B22" s="4"/>
      <c r="C22" s="5"/>
      <c r="D22" s="20"/>
      <c r="E22" s="27"/>
      <c r="F22" s="19"/>
      <c r="G22" s="17"/>
      <c r="H22" s="11"/>
      <c r="I22" s="8"/>
      <c r="J22" s="9"/>
      <c r="K22" s="46"/>
    </row>
    <row r="23" spans="1:11" ht="15" customHeight="1" x14ac:dyDescent="0.2">
      <c r="A23" s="2">
        <v>14</v>
      </c>
      <c r="B23" s="4"/>
      <c r="C23" s="5"/>
      <c r="D23" s="20"/>
      <c r="E23" s="27"/>
      <c r="F23" s="19"/>
      <c r="G23" s="4"/>
      <c r="H23" s="92"/>
      <c r="I23" s="21"/>
      <c r="J23" s="9"/>
      <c r="K23" s="46"/>
    </row>
    <row r="24" spans="1:11" ht="12" customHeight="1" x14ac:dyDescent="0.2">
      <c r="A24" s="2">
        <v>15</v>
      </c>
      <c r="B24" s="2"/>
      <c r="C24" s="5"/>
      <c r="D24" s="20"/>
      <c r="E24" s="27"/>
      <c r="F24" s="19"/>
      <c r="G24" s="4"/>
      <c r="H24" s="10"/>
      <c r="I24" s="8"/>
      <c r="J24" s="9"/>
      <c r="K24" s="46"/>
    </row>
    <row r="25" spans="1:11" ht="15" customHeight="1" x14ac:dyDescent="0.2">
      <c r="A25" s="2">
        <v>16</v>
      </c>
      <c r="B25" s="2"/>
      <c r="C25" s="5"/>
      <c r="D25" s="20"/>
      <c r="E25" s="27"/>
      <c r="F25" s="19"/>
      <c r="G25" s="4"/>
      <c r="H25" s="10"/>
      <c r="I25" s="8"/>
      <c r="J25" s="9"/>
      <c r="K25" s="46"/>
    </row>
    <row r="26" spans="1:11" ht="15" customHeight="1" x14ac:dyDescent="0.2">
      <c r="A26" s="2">
        <v>17</v>
      </c>
      <c r="B26" s="2"/>
      <c r="C26" s="5"/>
      <c r="D26" s="20"/>
      <c r="E26" s="27"/>
      <c r="F26" s="19"/>
      <c r="G26" s="17"/>
      <c r="H26" s="11"/>
      <c r="I26" s="21"/>
      <c r="J26" s="9"/>
      <c r="K26" s="46"/>
    </row>
    <row r="27" spans="1:11" ht="15" customHeight="1" x14ac:dyDescent="0.2">
      <c r="A27" s="2">
        <v>18</v>
      </c>
      <c r="B27" s="2"/>
      <c r="C27" s="5"/>
      <c r="D27" s="20"/>
      <c r="E27" s="27"/>
      <c r="F27" s="19"/>
      <c r="G27" s="17"/>
      <c r="H27" s="11"/>
      <c r="I27" s="8"/>
      <c r="J27" s="9"/>
      <c r="K27" s="46"/>
    </row>
    <row r="28" spans="1:11" ht="15" customHeight="1" x14ac:dyDescent="0.2">
      <c r="A28" s="2">
        <v>19</v>
      </c>
      <c r="B28" s="2"/>
      <c r="C28" s="5"/>
      <c r="D28" s="20"/>
      <c r="E28" s="27"/>
      <c r="F28" s="19"/>
      <c r="G28" s="17"/>
      <c r="H28" s="10"/>
      <c r="I28" s="8"/>
      <c r="J28" s="9"/>
      <c r="K28" s="46"/>
    </row>
    <row r="29" spans="1:11" ht="12" customHeight="1" x14ac:dyDescent="0.2">
      <c r="A29" s="2">
        <v>20</v>
      </c>
      <c r="B29" s="3"/>
      <c r="C29" s="5"/>
      <c r="D29" s="20"/>
      <c r="E29" s="27"/>
      <c r="F29" s="19"/>
      <c r="G29" s="18"/>
      <c r="H29" s="11"/>
      <c r="I29" s="21"/>
      <c r="J29" s="9"/>
      <c r="K29" s="46"/>
    </row>
    <row r="30" spans="1:11" ht="15" customHeight="1" x14ac:dyDescent="0.2">
      <c r="A30" s="2">
        <v>21</v>
      </c>
      <c r="B30" s="2"/>
      <c r="C30" s="5"/>
      <c r="D30" s="20"/>
      <c r="E30" s="27"/>
      <c r="F30" s="19"/>
      <c r="G30" s="17"/>
      <c r="H30" s="11"/>
      <c r="I30" s="8"/>
      <c r="J30" s="9"/>
      <c r="K30" s="46"/>
    </row>
    <row r="31" spans="1:11" ht="15" customHeight="1" x14ac:dyDescent="0.2">
      <c r="A31" s="2">
        <v>22</v>
      </c>
      <c r="B31" s="2"/>
      <c r="C31" s="5"/>
      <c r="D31" s="20"/>
      <c r="E31" s="27"/>
      <c r="F31" s="19"/>
      <c r="G31" s="17"/>
      <c r="H31" s="10"/>
      <c r="I31" s="8"/>
      <c r="J31" s="9"/>
      <c r="K31" s="46"/>
    </row>
    <row r="32" spans="1:11" ht="15" customHeight="1" x14ac:dyDescent="0.2">
      <c r="A32" s="2">
        <v>23</v>
      </c>
      <c r="B32" s="2"/>
      <c r="C32" s="5"/>
      <c r="D32" s="20"/>
      <c r="E32" s="27"/>
      <c r="F32" s="19"/>
      <c r="G32" s="17"/>
      <c r="H32" s="11"/>
      <c r="I32" s="21"/>
      <c r="J32" s="9"/>
      <c r="K32" s="46"/>
    </row>
    <row r="33" spans="1:11" ht="12" customHeight="1" x14ac:dyDescent="0.2">
      <c r="A33" s="2">
        <v>24</v>
      </c>
      <c r="B33" s="38"/>
      <c r="C33" s="41"/>
      <c r="D33" s="20"/>
      <c r="E33" s="40"/>
      <c r="F33" s="39"/>
      <c r="G33" s="42"/>
      <c r="H33" s="43"/>
      <c r="I33" s="44"/>
      <c r="J33" s="45"/>
      <c r="K33" s="46"/>
    </row>
    <row r="34" spans="1:11" ht="12" customHeight="1" x14ac:dyDescent="0.2">
      <c r="A34" s="38"/>
      <c r="B34" s="38"/>
      <c r="C34" s="41"/>
      <c r="D34" s="39"/>
      <c r="E34" s="39"/>
      <c r="F34" s="39"/>
      <c r="G34" s="42"/>
      <c r="H34" s="47"/>
      <c r="I34" s="48"/>
      <c r="J34" s="49"/>
      <c r="K34" s="50">
        <f>SUBTOTAL(109,Tabla1[TOTAL GANADO])</f>
        <v>62500</v>
      </c>
    </row>
    <row r="35" spans="1:11" ht="12" customHeight="1" x14ac:dyDescent="0.2">
      <c r="A35" s="38"/>
      <c r="B35" s="38"/>
      <c r="C35" s="41"/>
      <c r="D35" s="39"/>
      <c r="E35" s="39"/>
      <c r="F35" s="39"/>
      <c r="G35" s="42"/>
      <c r="H35" s="52"/>
      <c r="I35" s="42"/>
      <c r="J35" s="38"/>
      <c r="K35" s="53"/>
    </row>
    <row r="36" spans="1:11" ht="12" customHeight="1" x14ac:dyDescent="0.2">
      <c r="A36" s="38"/>
      <c r="B36" s="38"/>
      <c r="C36" s="41"/>
      <c r="D36" s="39"/>
      <c r="E36" s="39"/>
      <c r="F36" s="39"/>
      <c r="G36" s="42"/>
      <c r="H36" s="52"/>
      <c r="I36" s="42"/>
      <c r="J36" s="38"/>
      <c r="K36" s="53"/>
    </row>
    <row r="37" spans="1:11" ht="12" customHeight="1" x14ac:dyDescent="0.2">
      <c r="A37" s="38"/>
      <c r="B37" s="38"/>
      <c r="C37" s="41"/>
      <c r="D37" s="39"/>
      <c r="E37" s="39"/>
      <c r="F37" s="39"/>
      <c r="G37" s="42"/>
      <c r="H37" s="52"/>
      <c r="I37" s="42"/>
      <c r="J37" s="38"/>
      <c r="K37" s="53"/>
    </row>
    <row r="38" spans="1:11" ht="12" customHeight="1" x14ac:dyDescent="0.2">
      <c r="A38" s="38"/>
      <c r="B38" s="38"/>
      <c r="C38" s="41"/>
      <c r="D38" s="39"/>
      <c r="E38" s="39"/>
      <c r="F38" s="39"/>
      <c r="G38" s="42"/>
      <c r="H38" s="52"/>
      <c r="I38" s="42"/>
      <c r="J38" s="38"/>
      <c r="K38" s="53"/>
    </row>
    <row r="39" spans="1:11" ht="12" customHeight="1" x14ac:dyDescent="0.2">
      <c r="A39" s="38"/>
      <c r="B39" s="38"/>
      <c r="C39" s="41"/>
      <c r="D39" s="39"/>
      <c r="E39" s="39"/>
      <c r="F39" s="39"/>
      <c r="G39" s="42"/>
      <c r="H39" s="52"/>
      <c r="I39" s="42"/>
      <c r="J39" s="38"/>
      <c r="K39" s="53"/>
    </row>
    <row r="40" spans="1:11" ht="12" customHeight="1" x14ac:dyDescent="0.2">
      <c r="A40" s="38"/>
      <c r="B40" s="38"/>
      <c r="C40" s="41"/>
      <c r="D40" s="39"/>
      <c r="E40" s="39"/>
      <c r="F40" s="39"/>
      <c r="G40" s="42"/>
      <c r="H40" s="52"/>
      <c r="I40" s="42"/>
      <c r="J40" s="38"/>
      <c r="K40" s="53"/>
    </row>
    <row r="41" spans="1:11" ht="12" customHeight="1" x14ac:dyDescent="0.2">
      <c r="A41" s="38"/>
      <c r="B41" s="38"/>
      <c r="C41" s="41"/>
      <c r="D41" s="39"/>
      <c r="E41" s="39"/>
      <c r="F41" s="39"/>
      <c r="G41" s="42"/>
      <c r="H41" s="52"/>
      <c r="I41" s="42"/>
      <c r="J41" s="38"/>
      <c r="K41" s="53"/>
    </row>
    <row r="42" spans="1:11" ht="12" customHeight="1" x14ac:dyDescent="0.2">
      <c r="A42" s="38"/>
      <c r="B42" s="38"/>
      <c r="C42" s="41"/>
      <c r="D42" s="39"/>
      <c r="E42" s="39"/>
      <c r="F42" s="39"/>
      <c r="G42" s="42"/>
      <c r="H42" s="52"/>
      <c r="I42" s="42"/>
      <c r="J42" s="38"/>
      <c r="K42" s="53"/>
    </row>
    <row r="43" spans="1:11" ht="12" customHeight="1" x14ac:dyDescent="0.2">
      <c r="A43" s="38"/>
      <c r="B43" s="38"/>
      <c r="C43" s="41"/>
      <c r="D43" s="39"/>
      <c r="E43" s="39"/>
      <c r="F43" s="39"/>
      <c r="G43" s="42"/>
      <c r="H43" s="52"/>
      <c r="I43" s="42"/>
      <c r="J43" s="38"/>
      <c r="K43" s="53"/>
    </row>
    <row r="44" spans="1:11" ht="12" customHeight="1" x14ac:dyDescent="0.2">
      <c r="A44" s="38"/>
      <c r="B44" s="38"/>
      <c r="C44" s="41"/>
      <c r="D44" s="39"/>
      <c r="E44" s="39"/>
      <c r="F44" s="39"/>
      <c r="G44" s="42"/>
      <c r="H44" s="52"/>
      <c r="I44" s="42"/>
      <c r="J44" s="38"/>
      <c r="K44" s="53"/>
    </row>
    <row r="45" spans="1:11" ht="12" customHeight="1" x14ac:dyDescent="0.2">
      <c r="A45" s="38"/>
      <c r="B45" s="38"/>
      <c r="C45" s="41"/>
      <c r="D45" s="39"/>
      <c r="E45" s="39"/>
      <c r="F45" s="39"/>
      <c r="G45" s="42"/>
      <c r="H45" s="52"/>
      <c r="I45" s="42"/>
      <c r="J45" s="38"/>
      <c r="K45" s="53"/>
    </row>
    <row r="46" spans="1:11" ht="12" customHeight="1" x14ac:dyDescent="0.2">
      <c r="A46" s="38"/>
      <c r="B46" s="38"/>
      <c r="C46" s="41"/>
      <c r="D46" s="39"/>
      <c r="E46" s="39"/>
      <c r="F46" s="39"/>
      <c r="G46" s="42"/>
      <c r="H46" s="52"/>
      <c r="I46" s="42"/>
      <c r="J46" s="38"/>
      <c r="K46" s="53"/>
    </row>
    <row r="47" spans="1:11" ht="12" customHeight="1" x14ac:dyDescent="0.2">
      <c r="A47" s="38"/>
      <c r="B47" s="38"/>
      <c r="C47" s="41"/>
      <c r="D47" s="39"/>
      <c r="E47" s="39"/>
      <c r="F47" s="39"/>
      <c r="G47" s="42"/>
      <c r="H47" s="52"/>
      <c r="I47" s="42"/>
      <c r="J47" s="38"/>
      <c r="K47" s="53"/>
    </row>
    <row r="48" spans="1:11" ht="12" customHeight="1" x14ac:dyDescent="0.2">
      <c r="A48" s="38"/>
      <c r="B48" s="38"/>
      <c r="C48" s="41"/>
      <c r="D48" s="39"/>
      <c r="E48" s="39"/>
      <c r="F48" s="39"/>
      <c r="G48" s="42"/>
      <c r="H48" s="52"/>
      <c r="I48" s="42"/>
      <c r="J48" s="38"/>
      <c r="K48" s="53"/>
    </row>
    <row r="49" spans="1:11" ht="12" customHeight="1" x14ac:dyDescent="0.2">
      <c r="A49" s="38"/>
      <c r="B49" s="38"/>
      <c r="C49" s="41"/>
      <c r="D49" s="39"/>
      <c r="E49" s="39"/>
      <c r="F49" s="39"/>
      <c r="G49" s="42"/>
      <c r="H49" s="52"/>
      <c r="I49" s="42"/>
      <c r="J49" s="38"/>
      <c r="K49" s="53"/>
    </row>
    <row r="50" spans="1:11" ht="12" customHeight="1" x14ac:dyDescent="0.2">
      <c r="A50" s="38"/>
      <c r="B50" s="38"/>
      <c r="C50" s="41"/>
      <c r="D50" s="39"/>
      <c r="E50" s="39"/>
      <c r="F50" s="39"/>
      <c r="G50" s="42"/>
      <c r="H50" s="52"/>
      <c r="I50" s="42"/>
      <c r="J50" s="38"/>
      <c r="K50" s="53"/>
    </row>
    <row r="51" spans="1:11" ht="12" customHeight="1" x14ac:dyDescent="0.2">
      <c r="A51" s="38"/>
      <c r="B51" s="38"/>
      <c r="C51" s="41"/>
      <c r="D51" s="39"/>
      <c r="E51" s="39"/>
      <c r="F51" s="39"/>
      <c r="G51" s="42"/>
      <c r="H51" s="52"/>
      <c r="I51" s="42"/>
      <c r="J51" s="38"/>
      <c r="K51" s="53"/>
    </row>
    <row r="52" spans="1:11" ht="12" customHeight="1" x14ac:dyDescent="0.2">
      <c r="A52" s="38"/>
      <c r="B52" s="38"/>
      <c r="C52" s="41"/>
      <c r="D52" s="39"/>
      <c r="E52" s="39"/>
      <c r="F52" s="39"/>
      <c r="G52" s="42"/>
      <c r="H52" s="52"/>
      <c r="I52" s="42"/>
      <c r="J52" s="38"/>
      <c r="K52" s="53"/>
    </row>
    <row r="53" spans="1:11" ht="12" customHeight="1" x14ac:dyDescent="0.2">
      <c r="A53" s="38"/>
      <c r="B53" s="38"/>
      <c r="C53" s="41"/>
      <c r="D53" s="39"/>
      <c r="E53" s="39"/>
      <c r="F53" s="39"/>
      <c r="G53" s="42"/>
      <c r="H53" s="52"/>
      <c r="I53" s="42"/>
      <c r="J53" s="38"/>
      <c r="K53" s="53"/>
    </row>
    <row r="54" spans="1:11" ht="12" customHeight="1" x14ac:dyDescent="0.2">
      <c r="A54" s="38"/>
      <c r="B54" s="38"/>
      <c r="C54" s="41"/>
      <c r="D54" s="39"/>
      <c r="E54" s="39"/>
      <c r="F54" s="39"/>
      <c r="G54" s="42"/>
      <c r="H54" s="52"/>
      <c r="I54" s="42"/>
      <c r="J54" s="38"/>
      <c r="K54" s="53"/>
    </row>
    <row r="55" spans="1:11" ht="12" customHeight="1" x14ac:dyDescent="0.2">
      <c r="A55" s="38"/>
      <c r="B55" s="38"/>
      <c r="C55" s="41"/>
      <c r="D55" s="39"/>
      <c r="E55" s="39"/>
      <c r="F55" s="39"/>
      <c r="G55" s="42"/>
      <c r="H55" s="52"/>
      <c r="I55" s="42"/>
      <c r="J55" s="38"/>
      <c r="K55" s="53"/>
    </row>
    <row r="56" spans="1:11" ht="12" customHeight="1" x14ac:dyDescent="0.2">
      <c r="A56" s="38"/>
      <c r="B56" s="38"/>
      <c r="C56" s="41"/>
      <c r="D56" s="39"/>
      <c r="E56" s="39"/>
      <c r="F56" s="39"/>
      <c r="G56" s="42"/>
      <c r="H56" s="52"/>
      <c r="I56" s="42"/>
      <c r="J56" s="38"/>
      <c r="K56" s="53"/>
    </row>
    <row r="57" spans="1:11" ht="12" customHeight="1" x14ac:dyDescent="0.2">
      <c r="A57" s="38"/>
      <c r="B57" s="38"/>
      <c r="C57" s="41"/>
      <c r="D57" s="39"/>
      <c r="E57" s="39"/>
      <c r="F57" s="39"/>
      <c r="G57" s="42"/>
      <c r="H57" s="52"/>
      <c r="I57" s="42"/>
      <c r="J57" s="38"/>
      <c r="K57" s="53"/>
    </row>
    <row r="58" spans="1:11" ht="12" customHeight="1" x14ac:dyDescent="0.2">
      <c r="A58" s="38"/>
      <c r="B58" s="38"/>
      <c r="C58" s="41"/>
      <c r="D58" s="39"/>
      <c r="E58" s="39"/>
      <c r="F58" s="39"/>
      <c r="G58" s="42"/>
      <c r="H58" s="52"/>
      <c r="I58" s="42"/>
      <c r="J58" s="38"/>
      <c r="K58" s="53"/>
    </row>
    <row r="59" spans="1:11" ht="12" customHeight="1" x14ac:dyDescent="0.2">
      <c r="A59" s="38"/>
      <c r="B59" s="38"/>
      <c r="C59" s="41"/>
      <c r="D59" s="39"/>
      <c r="E59" s="39"/>
      <c r="F59" s="39"/>
      <c r="G59" s="42"/>
      <c r="H59" s="52"/>
      <c r="I59" s="42"/>
      <c r="J59" s="38"/>
      <c r="K59" s="53"/>
    </row>
    <row r="60" spans="1:11" ht="12" customHeight="1" x14ac:dyDescent="0.2">
      <c r="A60" s="38"/>
      <c r="B60" s="38"/>
      <c r="C60" s="41"/>
      <c r="D60" s="39"/>
      <c r="E60" s="39"/>
      <c r="F60" s="39"/>
      <c r="G60" s="42"/>
      <c r="H60" s="52"/>
      <c r="I60" s="42"/>
      <c r="J60" s="38"/>
      <c r="K60" s="53"/>
    </row>
    <row r="61" spans="1:11" ht="12" customHeight="1" x14ac:dyDescent="0.2">
      <c r="A61" s="38"/>
      <c r="B61" s="38"/>
      <c r="C61" s="41"/>
      <c r="D61" s="39"/>
      <c r="E61" s="39"/>
      <c r="F61" s="39"/>
      <c r="G61" s="42"/>
      <c r="H61" s="52"/>
      <c r="I61" s="42"/>
      <c r="J61" s="38"/>
      <c r="K61" s="53"/>
    </row>
    <row r="62" spans="1:11" ht="12" customHeight="1" x14ac:dyDescent="0.2">
      <c r="A62" s="38"/>
      <c r="B62" s="38"/>
      <c r="C62" s="41"/>
      <c r="D62" s="39"/>
      <c r="E62" s="39"/>
      <c r="F62" s="39"/>
      <c r="G62" s="42"/>
      <c r="H62" s="52"/>
      <c r="I62" s="42"/>
      <c r="J62" s="38"/>
      <c r="K62" s="53"/>
    </row>
    <row r="63" spans="1:11" ht="12" customHeight="1" x14ac:dyDescent="0.2">
      <c r="A63" s="38"/>
      <c r="B63" s="38"/>
      <c r="C63" s="41"/>
      <c r="D63" s="39"/>
      <c r="E63" s="39"/>
      <c r="F63" s="39"/>
      <c r="G63" s="42"/>
      <c r="H63" s="52"/>
      <c r="I63" s="42"/>
      <c r="J63" s="38"/>
      <c r="K63" s="53"/>
    </row>
    <row r="64" spans="1:11" ht="12" customHeight="1" x14ac:dyDescent="0.2">
      <c r="A64" s="38"/>
      <c r="B64" s="38"/>
      <c r="C64" s="41"/>
      <c r="D64" s="39"/>
      <c r="E64" s="39"/>
      <c r="F64" s="39"/>
      <c r="G64" s="42"/>
      <c r="H64" s="52"/>
      <c r="I64" s="42"/>
      <c r="J64" s="38"/>
      <c r="K64" s="53"/>
    </row>
    <row r="65" spans="1:11" ht="12" customHeight="1" x14ac:dyDescent="0.2">
      <c r="A65" s="38"/>
      <c r="B65" s="38"/>
      <c r="C65" s="41"/>
      <c r="D65" s="39"/>
      <c r="E65" s="39"/>
      <c r="F65" s="39"/>
      <c r="G65" s="42"/>
      <c r="H65" s="52"/>
      <c r="I65" s="42"/>
      <c r="J65" s="38"/>
      <c r="K65" s="53"/>
    </row>
    <row r="66" spans="1:11" ht="12" customHeight="1" x14ac:dyDescent="0.2">
      <c r="A66" s="38"/>
      <c r="B66" s="38"/>
      <c r="C66" s="41"/>
      <c r="D66" s="39"/>
      <c r="E66" s="39"/>
      <c r="F66" s="39"/>
      <c r="G66" s="42"/>
      <c r="H66" s="52"/>
      <c r="I66" s="42"/>
      <c r="J66" s="38"/>
      <c r="K66" s="53"/>
    </row>
    <row r="67" spans="1:11" ht="12" customHeight="1" x14ac:dyDescent="0.2">
      <c r="A67" s="38"/>
      <c r="B67" s="38"/>
      <c r="C67" s="41"/>
      <c r="D67" s="39"/>
      <c r="E67" s="39"/>
      <c r="F67" s="39"/>
      <c r="G67" s="42"/>
      <c r="H67" s="52"/>
      <c r="I67" s="42"/>
      <c r="J67" s="38"/>
      <c r="K67" s="53"/>
    </row>
    <row r="68" spans="1:11" ht="12" customHeight="1" x14ac:dyDescent="0.2">
      <c r="A68" s="38"/>
      <c r="B68" s="38"/>
      <c r="C68" s="41"/>
      <c r="D68" s="39"/>
      <c r="E68" s="39"/>
      <c r="F68" s="39"/>
      <c r="G68" s="42"/>
      <c r="H68" s="52"/>
      <c r="I68" s="42"/>
      <c r="J68" s="38"/>
      <c r="K68" s="53"/>
    </row>
    <row r="69" spans="1:11" ht="12" customHeight="1" x14ac:dyDescent="0.2">
      <c r="A69" s="38"/>
      <c r="B69" s="38"/>
      <c r="C69" s="41"/>
      <c r="D69" s="39"/>
      <c r="E69" s="39"/>
      <c r="F69" s="39"/>
      <c r="G69" s="42"/>
      <c r="H69" s="52"/>
      <c r="I69" s="42"/>
      <c r="J69" s="38"/>
      <c r="K69" s="53"/>
    </row>
    <row r="70" spans="1:11" ht="12" customHeight="1" x14ac:dyDescent="0.2">
      <c r="A70" s="38"/>
      <c r="B70" s="38"/>
      <c r="C70" s="41"/>
      <c r="D70" s="39"/>
      <c r="E70" s="39"/>
      <c r="F70" s="39"/>
      <c r="G70" s="42"/>
      <c r="H70" s="52"/>
      <c r="I70" s="42"/>
      <c r="J70" s="38"/>
      <c r="K70" s="53"/>
    </row>
    <row r="71" spans="1:11" ht="12" customHeight="1" x14ac:dyDescent="0.2">
      <c r="A71" s="38"/>
      <c r="B71" s="38"/>
      <c r="C71" s="41"/>
      <c r="D71" s="39"/>
      <c r="E71" s="39"/>
      <c r="F71" s="39"/>
      <c r="G71" s="42"/>
      <c r="H71" s="52"/>
      <c r="I71" s="42"/>
      <c r="J71" s="38"/>
      <c r="K71" s="53"/>
    </row>
    <row r="72" spans="1:11" ht="12" customHeight="1" x14ac:dyDescent="0.2">
      <c r="A72" s="38"/>
      <c r="B72" s="38"/>
      <c r="C72" s="41"/>
      <c r="D72" s="39"/>
      <c r="E72" s="39"/>
      <c r="F72" s="39"/>
      <c r="G72" s="42"/>
      <c r="H72" s="52"/>
      <c r="I72" s="42"/>
      <c r="J72" s="38"/>
      <c r="K72" s="53"/>
    </row>
    <row r="80" spans="1:11" ht="12" customHeight="1" x14ac:dyDescent="0.2">
      <c r="I80" s="3" t="s">
        <v>11</v>
      </c>
      <c r="J80" s="28">
        <v>0.1221</v>
      </c>
      <c r="K80" s="1">
        <f>+Tabla1[[#Totals],[TOTAL GANADO]]*J80</f>
        <v>7631.25</v>
      </c>
    </row>
    <row r="81" spans="9:11" ht="12" customHeight="1" x14ac:dyDescent="0.2">
      <c r="I81" s="3" t="s">
        <v>13</v>
      </c>
      <c r="J81" s="28">
        <v>5.0000000000000001E-3</v>
      </c>
      <c r="K81" s="1">
        <f>+Tabla1[[#Totals],[TOTAL GANADO]]*J81</f>
        <v>312.5</v>
      </c>
    </row>
    <row r="82" spans="9:11" ht="12" customHeight="1" x14ac:dyDescent="0.2">
      <c r="I82" s="3" t="s">
        <v>12</v>
      </c>
      <c r="J82" s="29">
        <v>0.02</v>
      </c>
      <c r="K82" s="1">
        <f>+Tabla1[[#Totals],[TOTAL GANADO]]*J82</f>
        <v>1250</v>
      </c>
    </row>
    <row r="85" spans="9:11" ht="12" customHeight="1" x14ac:dyDescent="0.2">
      <c r="J85" s="3">
        <f>13.92-12.71</f>
        <v>1.2099999999999991</v>
      </c>
      <c r="K85" s="1">
        <f>3878/Tabla1[[#Totals],[TOTAL GANADO]]</f>
        <v>6.2047999999999999E-2</v>
      </c>
    </row>
    <row r="87" spans="9:11" ht="12" customHeight="1" x14ac:dyDescent="0.2">
      <c r="J87" s="28">
        <v>0.13919999999999999</v>
      </c>
      <c r="K87" s="1">
        <f>+Tabla1[[#Totals],[TOTAL GANADO]]*J87</f>
        <v>8700</v>
      </c>
    </row>
  </sheetData>
  <pageMargins left="0.70866141732283472" right="0.31496062992125984" top="0.87" bottom="0.74803149606299213" header="0.31496062992125984" footer="0.31496062992125984"/>
  <pageSetup scale="8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70" zoomScaleNormal="70" workbookViewId="0">
      <selection activeCell="R9" sqref="R9"/>
    </sheetView>
  </sheetViews>
  <sheetFormatPr baseColWidth="10" defaultRowHeight="15" x14ac:dyDescent="0.25"/>
  <cols>
    <col min="1" max="1" width="7.5703125" style="54" customWidth="1"/>
    <col min="2" max="2" width="6" style="54" customWidth="1"/>
    <col min="3" max="3" width="11.42578125" style="54"/>
    <col min="4" max="4" width="5" style="54" customWidth="1"/>
    <col min="5" max="5" width="15.28515625" style="54" customWidth="1"/>
    <col min="6" max="6" width="43.140625" style="54" customWidth="1"/>
    <col min="7" max="7" width="20.28515625" style="54" hidden="1" customWidth="1"/>
    <col min="8" max="8" width="12.140625" style="54" hidden="1" customWidth="1"/>
    <col min="9" max="9" width="16.42578125" style="54" hidden="1" customWidth="1"/>
    <col min="10" max="10" width="14.5703125" style="54" hidden="1" customWidth="1"/>
    <col min="11" max="11" width="12.42578125" style="54" customWidth="1"/>
    <col min="12" max="12" width="21.28515625" style="54" customWidth="1"/>
    <col min="13" max="13" width="22" style="54" customWidth="1"/>
    <col min="14" max="14" width="1.28515625" style="54" hidden="1" customWidth="1"/>
    <col min="15" max="15" width="3" style="54" hidden="1" customWidth="1"/>
    <col min="16" max="17" width="11.42578125" style="54"/>
    <col min="18" max="18" width="16.28515625" style="54" customWidth="1"/>
    <col min="19" max="20" width="0" style="54" hidden="1" customWidth="1"/>
    <col min="21" max="16384" width="11.42578125" style="54"/>
  </cols>
  <sheetData>
    <row r="1" spans="1:20" x14ac:dyDescent="0.25">
      <c r="C1" s="25" t="s">
        <v>131</v>
      </c>
    </row>
    <row r="2" spans="1:20" x14ac:dyDescent="0.25">
      <c r="C2" s="25" t="s">
        <v>132</v>
      </c>
    </row>
    <row r="3" spans="1:20" x14ac:dyDescent="0.25">
      <c r="C3" s="25" t="s">
        <v>1</v>
      </c>
    </row>
    <row r="4" spans="1:20" x14ac:dyDescent="0.25">
      <c r="C4" s="25" t="s">
        <v>141</v>
      </c>
      <c r="L4" s="88"/>
      <c r="M4" s="88"/>
      <c r="N4" s="88" t="s">
        <v>83</v>
      </c>
    </row>
    <row r="5" spans="1:20" x14ac:dyDescent="0.25">
      <c r="C5" s="25" t="s">
        <v>9</v>
      </c>
      <c r="G5" s="54">
        <v>11</v>
      </c>
      <c r="H5" s="54">
        <v>12</v>
      </c>
      <c r="I5" s="54">
        <v>13</v>
      </c>
      <c r="J5" s="54">
        <v>14</v>
      </c>
      <c r="N5" s="54">
        <v>18</v>
      </c>
      <c r="R5" s="133"/>
      <c r="S5" s="132"/>
      <c r="T5" s="93"/>
    </row>
    <row r="6" spans="1:20" x14ac:dyDescent="0.25">
      <c r="C6" s="25"/>
      <c r="R6" s="133"/>
      <c r="S6" s="132"/>
      <c r="T6" s="93"/>
    </row>
    <row r="7" spans="1:20" x14ac:dyDescent="0.25">
      <c r="C7" s="25"/>
      <c r="R7" s="133"/>
      <c r="S7" s="132"/>
      <c r="T7" s="93"/>
    </row>
    <row r="8" spans="1:20" s="87" customFormat="1" ht="109.5" customHeight="1" thickBot="1" x14ac:dyDescent="0.25">
      <c r="A8" s="119" t="s">
        <v>82</v>
      </c>
      <c r="B8" s="119" t="s">
        <v>81</v>
      </c>
      <c r="C8" s="119" t="s">
        <v>80</v>
      </c>
      <c r="D8" s="119" t="s">
        <v>79</v>
      </c>
      <c r="E8" s="119" t="s">
        <v>78</v>
      </c>
      <c r="F8" s="119" t="s">
        <v>77</v>
      </c>
      <c r="G8" s="119" t="s">
        <v>76</v>
      </c>
      <c r="H8" s="119" t="s">
        <v>75</v>
      </c>
      <c r="I8" s="119" t="s">
        <v>74</v>
      </c>
      <c r="J8" s="119" t="s">
        <v>73</v>
      </c>
      <c r="K8" s="119" t="s">
        <v>72</v>
      </c>
      <c r="L8" s="119" t="s">
        <v>71</v>
      </c>
      <c r="M8" s="119" t="s">
        <v>70</v>
      </c>
      <c r="N8" s="87" t="s">
        <v>69</v>
      </c>
      <c r="P8" s="127" t="s">
        <v>68</v>
      </c>
      <c r="Q8" s="127" t="s">
        <v>134</v>
      </c>
      <c r="R8" s="127" t="s">
        <v>90</v>
      </c>
      <c r="S8" s="94"/>
      <c r="T8" s="94"/>
    </row>
    <row r="9" spans="1:20" ht="15.75" thickTop="1" x14ac:dyDescent="0.25">
      <c r="A9" s="54">
        <v>1</v>
      </c>
      <c r="B9" s="116" t="str">
        <f>+'(paso 1) llenar Planillas AFP '!D10</f>
        <v>CI</v>
      </c>
      <c r="C9" s="117">
        <f>+'(paso 1) llenar Planillas AFP '!E10</f>
        <v>3840761</v>
      </c>
      <c r="D9" s="117" t="str">
        <f>+'(paso 1) llenar Planillas AFP '!F10</f>
        <v>SC</v>
      </c>
      <c r="E9" s="117">
        <f>+'(paso 1) llenar Planillas AFP '!G10</f>
        <v>5552266</v>
      </c>
      <c r="F9" s="117" t="str">
        <f>+'(paso 1) llenar Planillas AFP '!H10</f>
        <v>PERLA LINDA PERLACIOS ADORNO</v>
      </c>
      <c r="G9" s="54" t="s">
        <v>67</v>
      </c>
      <c r="H9" s="54" t="s">
        <v>7</v>
      </c>
      <c r="I9" s="86">
        <v>40940</v>
      </c>
      <c r="J9" s="54">
        <v>30</v>
      </c>
      <c r="K9" s="85">
        <f>+'(paso 1) llenar Planillas AFP '!K10</f>
        <v>42500</v>
      </c>
      <c r="L9" s="85">
        <f>IF((Tabla16[[#This Row],[(21) TOTAL GANADO SOLIDARIO (SIN CONSIDERAR TOPE DE 60 SALARIOS MÍNIMOS NACIONALES)]]-13000)&lt;0,0,Tabla16[[#This Row],[(21) TOTAL GANADO SOLIDARIO (SIN CONSIDERAR TOPE DE 60 SALARIOS MÍNIMOS NACIONALES)]]-13000)</f>
        <v>29500</v>
      </c>
      <c r="M9" s="85">
        <f>IF((Tabla16[[#This Row],[(21) TOTAL GANADO SOLIDARIO (SIN CONSIDERAR TOPE DE 60 SALARIOS MÍNIMOS NACIONALES)]]-25000)&lt;0,0,Tabla16[[#This Row],[(21) TOTAL GANADO SOLIDARIO (SIN CONSIDERAR TOPE DE 60 SALARIOS MÍNIMOS NACIONALES)]]-25000)</f>
        <v>17500</v>
      </c>
      <c r="N9" s="85">
        <f>IF((Tabla16[[#This Row],[(21) TOTAL GANADO SOLIDARIO (SIN CONSIDERAR TOPE DE 60 SALARIOS MÍNIMOS NACIONALES)]]-35000)&lt;0,0,Tabla16[[#This Row],[(21) TOTAL GANADO SOLIDARIO (SIN CONSIDERAR TOPE DE 60 SALARIOS MÍNIMOS NACIONALES)]]-35000)</f>
        <v>7500</v>
      </c>
      <c r="P9" s="128">
        <f>+Tabla16[[#This Row],[22)  TOTAL GANADO SOLIDARIO MENOS BS. 13,000 (SI LA DIFERENCIA ES POSITIVA)]]*0.01</f>
        <v>295</v>
      </c>
      <c r="Q9" s="128">
        <f>+Tabla16[[#This Row],[(23)  TOTAL GANADO SOLIDARIO MENOS BS. 25,000 (SI LA DIFERENCIA ES POSITIVA]]*0.05</f>
        <v>875</v>
      </c>
      <c r="R9" s="128">
        <f>+Q9+P9</f>
        <v>1170</v>
      </c>
      <c r="S9" s="93">
        <v>91.25</v>
      </c>
      <c r="T9" s="93">
        <f>+R9-S9</f>
        <v>1078.75</v>
      </c>
    </row>
    <row r="10" spans="1:20" x14ac:dyDescent="0.25">
      <c r="A10" s="54">
        <v>2</v>
      </c>
      <c r="B10" s="116" t="str">
        <f>+'(paso 1) llenar Planillas AFP '!D11</f>
        <v>CI</v>
      </c>
      <c r="C10" s="117">
        <f>+'(paso 1) llenar Planillas AFP '!E11</f>
        <v>4560711</v>
      </c>
      <c r="D10" s="117" t="str">
        <f>+'(paso 1) llenar Planillas AFP '!F11</f>
        <v>SC</v>
      </c>
      <c r="E10" s="117">
        <f>+'(paso 1) llenar Planillas AFP '!G11</f>
        <v>36184524</v>
      </c>
      <c r="F10" s="117" t="str">
        <f>+'(paso 1) llenar Planillas AFP '!H11</f>
        <v>NICOLAS VARGAS ARENAS</v>
      </c>
      <c r="G10" s="54" t="s">
        <v>67</v>
      </c>
      <c r="H10" s="54" t="s">
        <v>7</v>
      </c>
      <c r="I10" s="86">
        <v>40940</v>
      </c>
      <c r="J10" s="54">
        <v>30</v>
      </c>
      <c r="K10" s="85">
        <f>+'(paso 1) llenar Planillas AFP '!K11</f>
        <v>20000</v>
      </c>
      <c r="L10" s="85">
        <f>IF((Tabla16[[#This Row],[(21) TOTAL GANADO SOLIDARIO (SIN CONSIDERAR TOPE DE 60 SALARIOS MÍNIMOS NACIONALES)]]-13000)&lt;0,0,Tabla16[[#This Row],[(21) TOTAL GANADO SOLIDARIO (SIN CONSIDERAR TOPE DE 60 SALARIOS MÍNIMOS NACIONALES)]]-13000)</f>
        <v>7000</v>
      </c>
      <c r="M10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0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0" s="129">
        <f>+Tabla16[[#This Row],[22)  TOTAL GANADO SOLIDARIO MENOS BS. 13,000 (SI LA DIFERENCIA ES POSITIVA)]]*0.01</f>
        <v>70</v>
      </c>
      <c r="Q10" s="129">
        <f>+Tabla16[[#This Row],[(23)  TOTAL GANADO SOLIDARIO MENOS BS. 25,000 (SI LA DIFERENCIA ES POSITIVA]]*0.05</f>
        <v>0</v>
      </c>
      <c r="R10" s="129">
        <f>+P10</f>
        <v>70</v>
      </c>
      <c r="S10" s="93"/>
      <c r="T10" s="93"/>
    </row>
    <row r="11" spans="1:20" x14ac:dyDescent="0.25">
      <c r="A11" s="54">
        <v>3</v>
      </c>
      <c r="B11" s="116">
        <f>+'(paso 1) llenar Planillas AFP '!D12</f>
        <v>0</v>
      </c>
      <c r="C11" s="117">
        <f>+'(paso 1) llenar Planillas AFP '!E12</f>
        <v>0</v>
      </c>
      <c r="D11" s="117">
        <f>+'(paso 1) llenar Planillas AFP '!F12</f>
        <v>0</v>
      </c>
      <c r="E11" s="117">
        <f>+'(paso 1) llenar Planillas AFP '!G12</f>
        <v>0</v>
      </c>
      <c r="F11" s="117">
        <f>+'(paso 1) llenar Planillas AFP '!H12</f>
        <v>0</v>
      </c>
      <c r="G11" s="54" t="s">
        <v>67</v>
      </c>
      <c r="H11" s="54" t="s">
        <v>7</v>
      </c>
      <c r="I11" s="86">
        <v>40940</v>
      </c>
      <c r="J11" s="54">
        <v>30</v>
      </c>
      <c r="K11" s="85">
        <f>+'(paso 1) llenar Planillas AFP '!K12</f>
        <v>0</v>
      </c>
      <c r="L11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11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1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1" s="128">
        <f>+Tabla16[[#This Row],[22)  TOTAL GANADO SOLIDARIO MENOS BS. 13,000 (SI LA DIFERENCIA ES POSITIVA)]]*0.01</f>
        <v>0</v>
      </c>
      <c r="Q11" s="128">
        <f>+Tabla16[[#This Row],[(23)  TOTAL GANADO SOLIDARIO MENOS BS. 25,000 (SI LA DIFERENCIA ES POSITIVA]]*0.05</f>
        <v>0</v>
      </c>
      <c r="R11" s="128">
        <f t="shared" ref="R11:R29" si="0">+P11</f>
        <v>0</v>
      </c>
      <c r="S11" s="93"/>
      <c r="T11" s="93"/>
    </row>
    <row r="12" spans="1:20" x14ac:dyDescent="0.25">
      <c r="A12" s="54">
        <v>4</v>
      </c>
      <c r="B12" s="116">
        <f>+'(paso 1) llenar Planillas AFP '!D13</f>
        <v>0</v>
      </c>
      <c r="C12" s="117">
        <f>+'(paso 1) llenar Planillas AFP '!E13</f>
        <v>0</v>
      </c>
      <c r="D12" s="117">
        <f>+'(paso 1) llenar Planillas AFP '!F13</f>
        <v>0</v>
      </c>
      <c r="E12" s="117">
        <f>+'(paso 1) llenar Planillas AFP '!G13</f>
        <v>0</v>
      </c>
      <c r="F12" s="117">
        <f>+'(paso 1) llenar Planillas AFP '!H13</f>
        <v>0</v>
      </c>
      <c r="G12" s="54" t="s">
        <v>67</v>
      </c>
      <c r="H12" s="54" t="s">
        <v>7</v>
      </c>
      <c r="I12" s="86">
        <v>40940</v>
      </c>
      <c r="J12" s="54">
        <v>30</v>
      </c>
      <c r="K12" s="85">
        <f>+'(paso 1) llenar Planillas AFP '!K13</f>
        <v>0</v>
      </c>
      <c r="L12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12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2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2" s="129">
        <f>+Tabla16[[#This Row],[22)  TOTAL GANADO SOLIDARIO MENOS BS. 13,000 (SI LA DIFERENCIA ES POSITIVA)]]*0.01</f>
        <v>0</v>
      </c>
      <c r="Q12" s="129">
        <f>+Tabla16[[#This Row],[(23)  TOTAL GANADO SOLIDARIO MENOS BS. 25,000 (SI LA DIFERENCIA ES POSITIVA]]*0.05</f>
        <v>0</v>
      </c>
      <c r="R12" s="129">
        <f t="shared" si="0"/>
        <v>0</v>
      </c>
      <c r="S12" s="93"/>
      <c r="T12" s="93"/>
    </row>
    <row r="13" spans="1:20" x14ac:dyDescent="0.25">
      <c r="A13" s="54">
        <v>5</v>
      </c>
      <c r="B13" s="116">
        <f>+'(paso 1) llenar Planillas AFP '!D14</f>
        <v>0</v>
      </c>
      <c r="C13" s="117">
        <f>+'(paso 1) llenar Planillas AFP '!E14</f>
        <v>0</v>
      </c>
      <c r="D13" s="117">
        <f>+'(paso 1) llenar Planillas AFP '!F14</f>
        <v>0</v>
      </c>
      <c r="E13" s="117">
        <f>+'(paso 1) llenar Planillas AFP '!G14</f>
        <v>0</v>
      </c>
      <c r="F13" s="117">
        <f>+'(paso 1) llenar Planillas AFP '!H14</f>
        <v>0</v>
      </c>
      <c r="G13" s="54" t="s">
        <v>67</v>
      </c>
      <c r="H13" s="54" t="s">
        <v>7</v>
      </c>
      <c r="I13" s="86">
        <v>40940</v>
      </c>
      <c r="J13" s="54">
        <v>30</v>
      </c>
      <c r="K13" s="85">
        <f>+'(paso 1) llenar Planillas AFP '!K14</f>
        <v>0</v>
      </c>
      <c r="L13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13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3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3" s="128">
        <f>+Tabla16[[#This Row],[22)  TOTAL GANADO SOLIDARIO MENOS BS. 13,000 (SI LA DIFERENCIA ES POSITIVA)]]*0.01</f>
        <v>0</v>
      </c>
      <c r="Q13" s="128">
        <f>+Tabla16[[#This Row],[(23)  TOTAL GANADO SOLIDARIO MENOS BS. 25,000 (SI LA DIFERENCIA ES POSITIVA]]*0.05</f>
        <v>0</v>
      </c>
      <c r="R13" s="128">
        <f t="shared" si="0"/>
        <v>0</v>
      </c>
      <c r="S13" s="93"/>
      <c r="T13" s="93"/>
    </row>
    <row r="14" spans="1:20" x14ac:dyDescent="0.25">
      <c r="A14" s="54">
        <v>6</v>
      </c>
      <c r="B14" s="116">
        <f>+'(paso 1) llenar Planillas AFP '!D15</f>
        <v>0</v>
      </c>
      <c r="C14" s="117">
        <f>+'(paso 1) llenar Planillas AFP '!E15</f>
        <v>0</v>
      </c>
      <c r="D14" s="117">
        <f>+'(paso 1) llenar Planillas AFP '!F15</f>
        <v>0</v>
      </c>
      <c r="E14" s="117">
        <f>+'(paso 1) llenar Planillas AFP '!G15</f>
        <v>0</v>
      </c>
      <c r="F14" s="117">
        <f>+'(paso 1) llenar Planillas AFP '!H15</f>
        <v>0</v>
      </c>
      <c r="G14" s="54" t="s">
        <v>67</v>
      </c>
      <c r="H14" s="54" t="s">
        <v>7</v>
      </c>
      <c r="I14" s="86">
        <v>40940</v>
      </c>
      <c r="J14" s="54">
        <v>30</v>
      </c>
      <c r="K14" s="85">
        <f>+'(paso 1) llenar Planillas AFP '!K15</f>
        <v>0</v>
      </c>
      <c r="L14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14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4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4" s="129">
        <f>+Tabla16[[#This Row],[22)  TOTAL GANADO SOLIDARIO MENOS BS. 13,000 (SI LA DIFERENCIA ES POSITIVA)]]*0.01</f>
        <v>0</v>
      </c>
      <c r="Q14" s="129">
        <f>+Tabla16[[#This Row],[(23)  TOTAL GANADO SOLIDARIO MENOS BS. 25,000 (SI LA DIFERENCIA ES POSITIVA]]*0.05</f>
        <v>0</v>
      </c>
      <c r="R14" s="129">
        <f t="shared" si="0"/>
        <v>0</v>
      </c>
    </row>
    <row r="15" spans="1:20" x14ac:dyDescent="0.25">
      <c r="A15" s="54">
        <v>7</v>
      </c>
      <c r="B15" s="116">
        <f>+'(paso 1) llenar Planillas AFP '!D16</f>
        <v>0</v>
      </c>
      <c r="C15" s="117">
        <f>+'(paso 1) llenar Planillas AFP '!E16</f>
        <v>0</v>
      </c>
      <c r="D15" s="117">
        <f>+'(paso 1) llenar Planillas AFP '!F16</f>
        <v>0</v>
      </c>
      <c r="E15" s="117">
        <f>+'(paso 1) llenar Planillas AFP '!G16</f>
        <v>0</v>
      </c>
      <c r="F15" s="117">
        <f>+'(paso 1) llenar Planillas AFP '!H16</f>
        <v>0</v>
      </c>
      <c r="G15" s="54" t="s">
        <v>67</v>
      </c>
      <c r="H15" s="54" t="s">
        <v>7</v>
      </c>
      <c r="I15" s="86">
        <v>40940</v>
      </c>
      <c r="J15" s="54">
        <v>30</v>
      </c>
      <c r="K15" s="85">
        <f>+'(paso 1) llenar Planillas AFP '!K16</f>
        <v>0</v>
      </c>
      <c r="L15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15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5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5" s="128">
        <f>+Tabla16[[#This Row],[22)  TOTAL GANADO SOLIDARIO MENOS BS. 13,000 (SI LA DIFERENCIA ES POSITIVA)]]*0.01</f>
        <v>0</v>
      </c>
      <c r="Q15" s="128">
        <f>+Tabla16[[#This Row],[(23)  TOTAL GANADO SOLIDARIO MENOS BS. 25,000 (SI LA DIFERENCIA ES POSITIVA]]*0.05</f>
        <v>0</v>
      </c>
      <c r="R15" s="128">
        <f t="shared" si="0"/>
        <v>0</v>
      </c>
    </row>
    <row r="16" spans="1:20" x14ac:dyDescent="0.25">
      <c r="A16" s="54">
        <v>8</v>
      </c>
      <c r="B16" s="116">
        <f>+'(paso 1) llenar Planillas AFP '!D17</f>
        <v>0</v>
      </c>
      <c r="C16" s="117">
        <f>+'(paso 1) llenar Planillas AFP '!E17</f>
        <v>0</v>
      </c>
      <c r="D16" s="117">
        <f>+'(paso 1) llenar Planillas AFP '!F17</f>
        <v>0</v>
      </c>
      <c r="E16" s="117">
        <f>+'(paso 1) llenar Planillas AFP '!G17</f>
        <v>0</v>
      </c>
      <c r="F16" s="117">
        <f>+'(paso 1) llenar Planillas AFP '!H17</f>
        <v>0</v>
      </c>
      <c r="G16" s="54" t="s">
        <v>67</v>
      </c>
      <c r="H16" s="54" t="s">
        <v>7</v>
      </c>
      <c r="I16" s="86">
        <v>40945</v>
      </c>
      <c r="J16" s="54">
        <v>25</v>
      </c>
      <c r="K16" s="85">
        <f>+'(paso 1) llenar Planillas AFP '!K17</f>
        <v>0</v>
      </c>
      <c r="L16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16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6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6" s="129">
        <f>+Tabla16[[#This Row],[22)  TOTAL GANADO SOLIDARIO MENOS BS. 13,000 (SI LA DIFERENCIA ES POSITIVA)]]*0.01</f>
        <v>0</v>
      </c>
      <c r="Q16" s="129">
        <f>+Tabla16[[#This Row],[(23)  TOTAL GANADO SOLIDARIO MENOS BS. 25,000 (SI LA DIFERENCIA ES POSITIVA]]*0.05</f>
        <v>0</v>
      </c>
      <c r="R16" s="129">
        <f t="shared" si="0"/>
        <v>0</v>
      </c>
    </row>
    <row r="17" spans="1:18" x14ac:dyDescent="0.25">
      <c r="A17" s="54">
        <v>9</v>
      </c>
      <c r="B17" s="116">
        <f>+'(paso 1) llenar Planillas AFP '!D18</f>
        <v>0</v>
      </c>
      <c r="C17" s="117">
        <f>+'(paso 1) llenar Planillas AFP '!E18</f>
        <v>0</v>
      </c>
      <c r="D17" s="117">
        <f>+'(paso 1) llenar Planillas AFP '!F18</f>
        <v>0</v>
      </c>
      <c r="E17" s="117">
        <f>+'(paso 1) llenar Planillas AFP '!G18</f>
        <v>0</v>
      </c>
      <c r="F17" s="117">
        <f>+'(paso 1) llenar Planillas AFP '!H18</f>
        <v>0</v>
      </c>
      <c r="G17" s="54" t="s">
        <v>67</v>
      </c>
      <c r="H17" s="54" t="s">
        <v>7</v>
      </c>
      <c r="I17" s="86">
        <v>40940</v>
      </c>
      <c r="J17" s="54">
        <v>30</v>
      </c>
      <c r="K17" s="85">
        <f>+'(paso 1) llenar Planillas AFP '!K18</f>
        <v>0</v>
      </c>
      <c r="L17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17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7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7" s="128">
        <f>+Tabla16[[#This Row],[22)  TOTAL GANADO SOLIDARIO MENOS BS. 13,000 (SI LA DIFERENCIA ES POSITIVA)]]*0.01</f>
        <v>0</v>
      </c>
      <c r="Q17" s="128">
        <f>+Tabla16[[#This Row],[(23)  TOTAL GANADO SOLIDARIO MENOS BS. 25,000 (SI LA DIFERENCIA ES POSITIVA]]*0.05</f>
        <v>0</v>
      </c>
      <c r="R17" s="128">
        <f t="shared" si="0"/>
        <v>0</v>
      </c>
    </row>
    <row r="18" spans="1:18" x14ac:dyDescent="0.25">
      <c r="A18" s="54">
        <v>10</v>
      </c>
      <c r="B18" s="116">
        <f>+'(paso 1) llenar Planillas AFP '!D19</f>
        <v>0</v>
      </c>
      <c r="C18" s="117">
        <f>+'(paso 1) llenar Planillas AFP '!E19</f>
        <v>0</v>
      </c>
      <c r="D18" s="117">
        <f>+'(paso 1) llenar Planillas AFP '!F19</f>
        <v>0</v>
      </c>
      <c r="E18" s="117">
        <f>+'(paso 1) llenar Planillas AFP '!G19</f>
        <v>0</v>
      </c>
      <c r="F18" s="117">
        <f>+'(paso 1) llenar Planillas AFP '!H19</f>
        <v>0</v>
      </c>
      <c r="G18" s="54" t="s">
        <v>67</v>
      </c>
      <c r="H18" s="54" t="s">
        <v>7</v>
      </c>
      <c r="I18" s="86">
        <v>40940</v>
      </c>
      <c r="J18" s="54">
        <v>30</v>
      </c>
      <c r="K18" s="85">
        <f>+'(paso 1) llenar Planillas AFP '!K19</f>
        <v>0</v>
      </c>
      <c r="L18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18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8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8" s="129">
        <f>+Tabla16[[#This Row],[22)  TOTAL GANADO SOLIDARIO MENOS BS. 13,000 (SI LA DIFERENCIA ES POSITIVA)]]*0.01</f>
        <v>0</v>
      </c>
      <c r="Q18" s="129">
        <f>+Tabla16[[#This Row],[(23)  TOTAL GANADO SOLIDARIO MENOS BS. 25,000 (SI LA DIFERENCIA ES POSITIVA]]*0.05</f>
        <v>0</v>
      </c>
      <c r="R18" s="129">
        <f t="shared" si="0"/>
        <v>0</v>
      </c>
    </row>
    <row r="19" spans="1:18" x14ac:dyDescent="0.25">
      <c r="A19" s="54">
        <v>11</v>
      </c>
      <c r="B19" s="116">
        <f>+'(paso 1) llenar Planillas AFP '!D20</f>
        <v>0</v>
      </c>
      <c r="C19" s="117">
        <f>+'(paso 1) llenar Planillas AFP '!E20</f>
        <v>0</v>
      </c>
      <c r="D19" s="117">
        <f>+'(paso 1) llenar Planillas AFP '!F20</f>
        <v>0</v>
      </c>
      <c r="E19" s="117">
        <f>+'(paso 1) llenar Planillas AFP '!G20</f>
        <v>0</v>
      </c>
      <c r="F19" s="117">
        <f>+'(paso 1) llenar Planillas AFP '!H20</f>
        <v>0</v>
      </c>
      <c r="G19" s="54" t="s">
        <v>67</v>
      </c>
      <c r="H19" s="54" t="s">
        <v>7</v>
      </c>
      <c r="I19" s="86">
        <v>40940</v>
      </c>
      <c r="J19" s="54">
        <v>30</v>
      </c>
      <c r="K19" s="85">
        <f>+'(paso 1) llenar Planillas AFP '!K20</f>
        <v>0</v>
      </c>
      <c r="L19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19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19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19" s="128">
        <f>+Tabla16[[#This Row],[22)  TOTAL GANADO SOLIDARIO MENOS BS. 13,000 (SI LA DIFERENCIA ES POSITIVA)]]*0.01</f>
        <v>0</v>
      </c>
      <c r="Q19" s="128">
        <f>+Tabla16[[#This Row],[(23)  TOTAL GANADO SOLIDARIO MENOS BS. 25,000 (SI LA DIFERENCIA ES POSITIVA]]*0.05</f>
        <v>0</v>
      </c>
      <c r="R19" s="128">
        <f t="shared" si="0"/>
        <v>0</v>
      </c>
    </row>
    <row r="20" spans="1:18" x14ac:dyDescent="0.25">
      <c r="A20" s="54">
        <v>12</v>
      </c>
      <c r="B20" s="116">
        <f>+'(paso 1) llenar Planillas AFP '!D21</f>
        <v>0</v>
      </c>
      <c r="C20" s="117">
        <f>+'(paso 1) llenar Planillas AFP '!E21</f>
        <v>0</v>
      </c>
      <c r="D20" s="117">
        <f>+'(paso 1) llenar Planillas AFP '!F21</f>
        <v>0</v>
      </c>
      <c r="E20" s="117">
        <f>+'(paso 1) llenar Planillas AFP '!G21</f>
        <v>0</v>
      </c>
      <c r="F20" s="117">
        <f>+'(paso 1) llenar Planillas AFP '!H21</f>
        <v>0</v>
      </c>
      <c r="G20" s="54" t="s">
        <v>67</v>
      </c>
      <c r="H20" s="54" t="s">
        <v>7</v>
      </c>
      <c r="I20" s="86">
        <v>40940</v>
      </c>
      <c r="J20" s="54">
        <v>30</v>
      </c>
      <c r="K20" s="85">
        <f>+'(paso 1) llenar Planillas AFP '!K21</f>
        <v>0</v>
      </c>
      <c r="L20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0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0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0" s="129">
        <f>+Tabla16[[#This Row],[22)  TOTAL GANADO SOLIDARIO MENOS BS. 13,000 (SI LA DIFERENCIA ES POSITIVA)]]*0.01</f>
        <v>0</v>
      </c>
      <c r="Q20" s="129">
        <f>+Tabla16[[#This Row],[(23)  TOTAL GANADO SOLIDARIO MENOS BS. 25,000 (SI LA DIFERENCIA ES POSITIVA]]*0.05</f>
        <v>0</v>
      </c>
      <c r="R20" s="129">
        <f t="shared" si="0"/>
        <v>0</v>
      </c>
    </row>
    <row r="21" spans="1:18" x14ac:dyDescent="0.25">
      <c r="A21" s="54">
        <v>13</v>
      </c>
      <c r="B21" s="116">
        <f>+'(paso 1) llenar Planillas AFP '!D22</f>
        <v>0</v>
      </c>
      <c r="C21" s="117">
        <f>+'(paso 1) llenar Planillas AFP '!E22</f>
        <v>0</v>
      </c>
      <c r="D21" s="117">
        <f>+'(paso 1) llenar Planillas AFP '!F22</f>
        <v>0</v>
      </c>
      <c r="E21" s="117">
        <f>+'(paso 1) llenar Planillas AFP '!G22</f>
        <v>0</v>
      </c>
      <c r="F21" s="117">
        <f>+'(paso 1) llenar Planillas AFP '!H22</f>
        <v>0</v>
      </c>
      <c r="G21" s="54" t="s">
        <v>67</v>
      </c>
      <c r="H21" s="54" t="s">
        <v>7</v>
      </c>
      <c r="I21" s="86">
        <v>40940</v>
      </c>
      <c r="J21" s="54">
        <v>30</v>
      </c>
      <c r="K21" s="85">
        <f>+'(paso 1) llenar Planillas AFP '!K22</f>
        <v>0</v>
      </c>
      <c r="L21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1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1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1" s="128">
        <f>+Tabla16[[#This Row],[22)  TOTAL GANADO SOLIDARIO MENOS BS. 13,000 (SI LA DIFERENCIA ES POSITIVA)]]*0.01</f>
        <v>0</v>
      </c>
      <c r="Q21" s="128">
        <f>+Tabla16[[#This Row],[(23)  TOTAL GANADO SOLIDARIO MENOS BS. 25,000 (SI LA DIFERENCIA ES POSITIVA]]*0.05</f>
        <v>0</v>
      </c>
      <c r="R21" s="128">
        <f t="shared" si="0"/>
        <v>0</v>
      </c>
    </row>
    <row r="22" spans="1:18" x14ac:dyDescent="0.25">
      <c r="A22" s="54">
        <v>14</v>
      </c>
      <c r="B22" s="116">
        <f>+'(paso 1) llenar Planillas AFP '!D23</f>
        <v>0</v>
      </c>
      <c r="C22" s="117">
        <f>+'(paso 1) llenar Planillas AFP '!E23</f>
        <v>0</v>
      </c>
      <c r="D22" s="117">
        <f>+'(paso 1) llenar Planillas AFP '!F23</f>
        <v>0</v>
      </c>
      <c r="E22" s="117">
        <f>+'(paso 1) llenar Planillas AFP '!G23</f>
        <v>0</v>
      </c>
      <c r="F22" s="117">
        <f>+'(paso 1) llenar Planillas AFP '!H23</f>
        <v>0</v>
      </c>
      <c r="G22" s="54" t="s">
        <v>67</v>
      </c>
      <c r="H22" s="54" t="s">
        <v>7</v>
      </c>
      <c r="I22" s="86">
        <v>40940</v>
      </c>
      <c r="J22" s="54">
        <v>30</v>
      </c>
      <c r="K22" s="85">
        <f>+'(paso 1) llenar Planillas AFP '!K23</f>
        <v>0</v>
      </c>
      <c r="L22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2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2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2" s="129">
        <f>+Tabla16[[#This Row],[22)  TOTAL GANADO SOLIDARIO MENOS BS. 13,000 (SI LA DIFERENCIA ES POSITIVA)]]*0.01</f>
        <v>0</v>
      </c>
      <c r="Q22" s="129">
        <f>+Tabla16[[#This Row],[(23)  TOTAL GANADO SOLIDARIO MENOS BS. 25,000 (SI LA DIFERENCIA ES POSITIVA]]*0.05</f>
        <v>0</v>
      </c>
      <c r="R22" s="129">
        <f t="shared" si="0"/>
        <v>0</v>
      </c>
    </row>
    <row r="23" spans="1:18" x14ac:dyDescent="0.25">
      <c r="A23" s="54">
        <v>15</v>
      </c>
      <c r="B23" s="116">
        <f>+'(paso 1) llenar Planillas AFP '!D24</f>
        <v>0</v>
      </c>
      <c r="C23" s="117">
        <f>+'(paso 1) llenar Planillas AFP '!E24</f>
        <v>0</v>
      </c>
      <c r="D23" s="117">
        <f>+'(paso 1) llenar Planillas AFP '!F24</f>
        <v>0</v>
      </c>
      <c r="E23" s="117">
        <f>+'(paso 1) llenar Planillas AFP '!G24</f>
        <v>0</v>
      </c>
      <c r="F23" s="117">
        <f>+'(paso 1) llenar Planillas AFP '!H24</f>
        <v>0</v>
      </c>
      <c r="G23" s="54" t="s">
        <v>67</v>
      </c>
      <c r="H23" s="54" t="s">
        <v>7</v>
      </c>
      <c r="I23" s="86">
        <v>40940</v>
      </c>
      <c r="J23" s="54">
        <v>30</v>
      </c>
      <c r="K23" s="85">
        <f>+'(paso 1) llenar Planillas AFP '!K24</f>
        <v>0</v>
      </c>
      <c r="L23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3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3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3" s="128">
        <f>+Tabla16[[#This Row],[22)  TOTAL GANADO SOLIDARIO MENOS BS. 13,000 (SI LA DIFERENCIA ES POSITIVA)]]*0.01</f>
        <v>0</v>
      </c>
      <c r="Q23" s="128">
        <f>+Tabla16[[#This Row],[(23)  TOTAL GANADO SOLIDARIO MENOS BS. 25,000 (SI LA DIFERENCIA ES POSITIVA]]*0.05</f>
        <v>0</v>
      </c>
      <c r="R23" s="128">
        <f t="shared" si="0"/>
        <v>0</v>
      </c>
    </row>
    <row r="24" spans="1:18" x14ac:dyDescent="0.25">
      <c r="A24" s="54">
        <v>16</v>
      </c>
      <c r="B24" s="116">
        <f>+'(paso 1) llenar Planillas AFP '!D25</f>
        <v>0</v>
      </c>
      <c r="C24" s="117">
        <f>+'(paso 1) llenar Planillas AFP '!E25</f>
        <v>0</v>
      </c>
      <c r="D24" s="117">
        <f>+'(paso 1) llenar Planillas AFP '!F25</f>
        <v>0</v>
      </c>
      <c r="E24" s="117">
        <f>+'(paso 1) llenar Planillas AFP '!G25</f>
        <v>0</v>
      </c>
      <c r="F24" s="117">
        <f>+'(paso 1) llenar Planillas AFP '!H25</f>
        <v>0</v>
      </c>
      <c r="G24" s="54" t="s">
        <v>67</v>
      </c>
      <c r="H24" s="54" t="s">
        <v>7</v>
      </c>
      <c r="I24" s="86">
        <v>40940</v>
      </c>
      <c r="J24" s="54">
        <v>30</v>
      </c>
      <c r="K24" s="85">
        <f>+'(paso 1) llenar Planillas AFP '!K25</f>
        <v>0</v>
      </c>
      <c r="L24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4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4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4" s="129">
        <f>+Tabla16[[#This Row],[22)  TOTAL GANADO SOLIDARIO MENOS BS. 13,000 (SI LA DIFERENCIA ES POSITIVA)]]*0.01</f>
        <v>0</v>
      </c>
      <c r="Q24" s="129">
        <f>+Tabla16[[#This Row],[(23)  TOTAL GANADO SOLIDARIO MENOS BS. 25,000 (SI LA DIFERENCIA ES POSITIVA]]*0.05</f>
        <v>0</v>
      </c>
      <c r="R24" s="129">
        <f t="shared" si="0"/>
        <v>0</v>
      </c>
    </row>
    <row r="25" spans="1:18" x14ac:dyDescent="0.25">
      <c r="A25" s="54">
        <v>17</v>
      </c>
      <c r="B25" s="116">
        <f>+'(paso 1) llenar Planillas AFP '!D26</f>
        <v>0</v>
      </c>
      <c r="C25" s="117">
        <f>+'(paso 1) llenar Planillas AFP '!E26</f>
        <v>0</v>
      </c>
      <c r="D25" s="117">
        <f>+'(paso 1) llenar Planillas AFP '!F26</f>
        <v>0</v>
      </c>
      <c r="E25" s="117">
        <f>+'(paso 1) llenar Planillas AFP '!G26</f>
        <v>0</v>
      </c>
      <c r="F25" s="117">
        <f>+'(paso 1) llenar Planillas AFP '!H26</f>
        <v>0</v>
      </c>
      <c r="G25" s="54" t="s">
        <v>67</v>
      </c>
      <c r="H25" s="54" t="s">
        <v>7</v>
      </c>
      <c r="I25" s="86">
        <v>40945</v>
      </c>
      <c r="J25" s="54">
        <v>25</v>
      </c>
      <c r="K25" s="85">
        <f>+'(paso 1) llenar Planillas AFP '!K26</f>
        <v>0</v>
      </c>
      <c r="L25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5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5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5" s="128">
        <f>+Tabla16[[#This Row],[22)  TOTAL GANADO SOLIDARIO MENOS BS. 13,000 (SI LA DIFERENCIA ES POSITIVA)]]*0.01</f>
        <v>0</v>
      </c>
      <c r="Q25" s="128">
        <f>+Tabla16[[#This Row],[(23)  TOTAL GANADO SOLIDARIO MENOS BS. 25,000 (SI LA DIFERENCIA ES POSITIVA]]*0.05</f>
        <v>0</v>
      </c>
      <c r="R25" s="128">
        <f t="shared" si="0"/>
        <v>0</v>
      </c>
    </row>
    <row r="26" spans="1:18" x14ac:dyDescent="0.25">
      <c r="A26" s="54">
        <v>18</v>
      </c>
      <c r="B26" s="116">
        <f>+'(paso 1) llenar Planillas AFP '!D27</f>
        <v>0</v>
      </c>
      <c r="C26" s="117">
        <f>+'(paso 1) llenar Planillas AFP '!E27</f>
        <v>0</v>
      </c>
      <c r="D26" s="117">
        <f>+'(paso 1) llenar Planillas AFP '!F27</f>
        <v>0</v>
      </c>
      <c r="E26" s="117">
        <f>+'(paso 1) llenar Planillas AFP '!G27</f>
        <v>0</v>
      </c>
      <c r="F26" s="117">
        <f>+'(paso 1) llenar Planillas AFP '!H27</f>
        <v>0</v>
      </c>
      <c r="G26" s="54" t="s">
        <v>67</v>
      </c>
      <c r="H26" s="54" t="s">
        <v>7</v>
      </c>
      <c r="I26" s="86">
        <v>40940</v>
      </c>
      <c r="J26" s="54">
        <v>30</v>
      </c>
      <c r="K26" s="85">
        <f>+'(paso 1) llenar Planillas AFP '!K27</f>
        <v>0</v>
      </c>
      <c r="L26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6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6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6" s="129">
        <f>+Tabla16[[#This Row],[22)  TOTAL GANADO SOLIDARIO MENOS BS. 13,000 (SI LA DIFERENCIA ES POSITIVA)]]*0.01</f>
        <v>0</v>
      </c>
      <c r="Q26" s="129">
        <f>+Tabla16[[#This Row],[(23)  TOTAL GANADO SOLIDARIO MENOS BS. 25,000 (SI LA DIFERENCIA ES POSITIVA]]*0.05</f>
        <v>0</v>
      </c>
      <c r="R26" s="129">
        <f t="shared" si="0"/>
        <v>0</v>
      </c>
    </row>
    <row r="27" spans="1:18" x14ac:dyDescent="0.25">
      <c r="A27" s="54">
        <v>19</v>
      </c>
      <c r="B27" s="116">
        <f>+'(paso 1) llenar Planillas AFP '!D28</f>
        <v>0</v>
      </c>
      <c r="C27" s="117">
        <f>+'(paso 1) llenar Planillas AFP '!E28</f>
        <v>0</v>
      </c>
      <c r="D27" s="117">
        <f>+'(paso 1) llenar Planillas AFP '!F28</f>
        <v>0</v>
      </c>
      <c r="E27" s="117">
        <f>+'(paso 1) llenar Planillas AFP '!G28</f>
        <v>0</v>
      </c>
      <c r="F27" s="117">
        <f>+'(paso 1) llenar Planillas AFP '!H28</f>
        <v>0</v>
      </c>
      <c r="G27" s="54" t="s">
        <v>67</v>
      </c>
      <c r="H27" s="54" t="s">
        <v>7</v>
      </c>
      <c r="I27" s="86">
        <v>40940</v>
      </c>
      <c r="J27" s="54">
        <v>18</v>
      </c>
      <c r="K27" s="85">
        <f>+'(paso 1) llenar Planillas AFP '!K28</f>
        <v>0</v>
      </c>
      <c r="L27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7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7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7" s="128">
        <f>+Tabla16[[#This Row],[22)  TOTAL GANADO SOLIDARIO MENOS BS. 13,000 (SI LA DIFERENCIA ES POSITIVA)]]*0.01</f>
        <v>0</v>
      </c>
      <c r="Q27" s="128">
        <f>+Tabla16[[#This Row],[(23)  TOTAL GANADO SOLIDARIO MENOS BS. 25,000 (SI LA DIFERENCIA ES POSITIVA]]*0.05</f>
        <v>0</v>
      </c>
      <c r="R27" s="128">
        <f t="shared" si="0"/>
        <v>0</v>
      </c>
    </row>
    <row r="28" spans="1:18" x14ac:dyDescent="0.25">
      <c r="A28" s="54">
        <v>20</v>
      </c>
      <c r="B28" s="116">
        <f>+'(paso 1) llenar Planillas AFP '!D29</f>
        <v>0</v>
      </c>
      <c r="C28" s="117">
        <f>+'(paso 1) llenar Planillas AFP '!E29</f>
        <v>0</v>
      </c>
      <c r="D28" s="117">
        <f>+'(paso 1) llenar Planillas AFP '!F29</f>
        <v>0</v>
      </c>
      <c r="E28" s="117">
        <f>+'(paso 1) llenar Planillas AFP '!G29</f>
        <v>0</v>
      </c>
      <c r="F28" s="117">
        <f>+'(paso 1) llenar Planillas AFP '!H29</f>
        <v>0</v>
      </c>
      <c r="G28" s="54" t="s">
        <v>67</v>
      </c>
      <c r="H28" s="54" t="s">
        <v>7</v>
      </c>
      <c r="I28" s="86">
        <v>40940</v>
      </c>
      <c r="J28" s="54">
        <v>15</v>
      </c>
      <c r="K28" s="85">
        <f>+'(paso 1) llenar Planillas AFP '!K29</f>
        <v>0</v>
      </c>
      <c r="L28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8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8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8" s="129">
        <f>+Tabla16[[#This Row],[22)  TOTAL GANADO SOLIDARIO MENOS BS. 13,000 (SI LA DIFERENCIA ES POSITIVA)]]*0.01</f>
        <v>0</v>
      </c>
      <c r="Q28" s="129">
        <f>+Tabla16[[#This Row],[(23)  TOTAL GANADO SOLIDARIO MENOS BS. 25,000 (SI LA DIFERENCIA ES POSITIVA]]*0.05</f>
        <v>0</v>
      </c>
      <c r="R28" s="129">
        <f t="shared" si="0"/>
        <v>0</v>
      </c>
    </row>
    <row r="29" spans="1:18" ht="15.75" thickBot="1" x14ac:dyDescent="0.3">
      <c r="A29" s="54">
        <v>21</v>
      </c>
      <c r="B29" s="116">
        <f>+'(paso 1) llenar Planillas AFP '!D30</f>
        <v>0</v>
      </c>
      <c r="C29" s="117">
        <f>+'(paso 1) llenar Planillas AFP '!E30</f>
        <v>0</v>
      </c>
      <c r="D29" s="117">
        <f>+'(paso 1) llenar Planillas AFP '!F30</f>
        <v>0</v>
      </c>
      <c r="E29" s="117">
        <f>+'(paso 1) llenar Planillas AFP '!G30</f>
        <v>0</v>
      </c>
      <c r="F29" s="117">
        <f>+'(paso 1) llenar Planillas AFP '!H30</f>
        <v>0</v>
      </c>
      <c r="G29" s="54" t="s">
        <v>67</v>
      </c>
      <c r="H29" s="54" t="s">
        <v>7</v>
      </c>
      <c r="I29" s="86">
        <v>40940</v>
      </c>
      <c r="J29" s="54">
        <v>18</v>
      </c>
      <c r="K29" s="85">
        <f>+'(paso 1) llenar Planillas AFP '!K30</f>
        <v>0</v>
      </c>
      <c r="L29" s="85">
        <f>IF((Tabla16[[#This Row],[(21) TOTAL GANADO SOLIDARIO (SIN CONSIDERAR TOPE DE 60 SALARIOS MÍNIMOS NACIONALES)]]-13000)&lt;0,0,Tabla16[[#This Row],[(21) TOTAL GANADO SOLIDARIO (SIN CONSIDERAR TOPE DE 60 SALARIOS MÍNIMOS NACIONALES)]]-13000)</f>
        <v>0</v>
      </c>
      <c r="M29" s="85">
        <f>IF((Tabla16[[#This Row],[(21) TOTAL GANADO SOLIDARIO (SIN CONSIDERAR TOPE DE 60 SALARIOS MÍNIMOS NACIONALES)]]-25000)&lt;0,0,Tabla16[[#This Row],[(21) TOTAL GANADO SOLIDARIO (SIN CONSIDERAR TOPE DE 60 SALARIOS MÍNIMOS NACIONALES)]]-25000)</f>
        <v>0</v>
      </c>
      <c r="N29" s="85">
        <f>IF((Tabla16[[#This Row],[(21) TOTAL GANADO SOLIDARIO (SIN CONSIDERAR TOPE DE 60 SALARIOS MÍNIMOS NACIONALES)]]-35000)&lt;0,0,Tabla16[[#This Row],[(21) TOTAL GANADO SOLIDARIO (SIN CONSIDERAR TOPE DE 60 SALARIOS MÍNIMOS NACIONALES)]]-35000)</f>
        <v>0</v>
      </c>
      <c r="P29" s="130">
        <f>+Tabla16[[#This Row],[22)  TOTAL GANADO SOLIDARIO MENOS BS. 13,000 (SI LA DIFERENCIA ES POSITIVA)]]*0.01</f>
        <v>0</v>
      </c>
      <c r="Q29" s="130">
        <f>+Tabla16[[#This Row],[(23)  TOTAL GANADO SOLIDARIO MENOS BS. 25,000 (SI LA DIFERENCIA ES POSITIVA]]*0.05</f>
        <v>0</v>
      </c>
      <c r="R29" s="130">
        <f t="shared" si="0"/>
        <v>0</v>
      </c>
    </row>
    <row r="30" spans="1:18" ht="15.75" thickTop="1" x14ac:dyDescent="0.25">
      <c r="A30" s="120"/>
      <c r="B30" s="120"/>
      <c r="C30" s="120"/>
      <c r="D30" s="120"/>
      <c r="E30" s="120"/>
      <c r="F30" s="120"/>
      <c r="G30" s="120"/>
      <c r="H30" s="120"/>
      <c r="I30" s="121"/>
      <c r="J30" s="120"/>
      <c r="K30" s="122"/>
      <c r="L30" s="122">
        <f>SUBTOTAL(109,Tabla16[22)  TOTAL GANADO SOLIDARIO MENOS BS. 13,000 (SI LA DIFERENCIA ES POSITIVA)])</f>
        <v>36500</v>
      </c>
      <c r="M30" s="122">
        <f>SUBTOTAL(109,Tabla16[(23)  TOTAL GANADO SOLIDARIO MENOS BS. 25,000 (SI LA DIFERENCIA ES POSITIVA])</f>
        <v>17500</v>
      </c>
      <c r="N30" s="118">
        <f>SUBTOTAL(109,Tabla16[(24)  TOTAL GANADO SOLIDARIO MENOS BS. 35,000 (SI LA DIFERENCIA ES POSITIVA])</f>
        <v>7500</v>
      </c>
      <c r="O30" s="118"/>
      <c r="P30" s="131">
        <f>SUM(P9:P29)</f>
        <v>365</v>
      </c>
      <c r="Q30" s="131">
        <f t="shared" ref="Q30:R30" si="1">SUM(Q9:Q29)</f>
        <v>875</v>
      </c>
      <c r="R30" s="131">
        <f t="shared" si="1"/>
        <v>1240</v>
      </c>
    </row>
  </sheetData>
  <pageMargins left="0.70866141732283472" right="0.70866141732283472" top="0.74803149606299213" bottom="0.74803149606299213" header="0.31496062992125984" footer="0.31496062992125984"/>
  <pageSetup scale="75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M9"/>
  <sheetViews>
    <sheetView zoomScale="85" zoomScaleNormal="85" workbookViewId="0">
      <selection activeCell="K4" sqref="K4"/>
    </sheetView>
  </sheetViews>
  <sheetFormatPr baseColWidth="10" defaultRowHeight="12.75" x14ac:dyDescent="0.2"/>
  <cols>
    <col min="1" max="1" width="18.42578125" bestFit="1" customWidth="1"/>
    <col min="2" max="2" width="16" customWidth="1"/>
    <col min="3" max="9" width="11.5703125" bestFit="1" customWidth="1"/>
    <col min="11" max="13" width="11.5703125" bestFit="1" customWidth="1"/>
  </cols>
  <sheetData>
    <row r="1" spans="1:13" x14ac:dyDescent="0.2">
      <c r="K1" t="s">
        <v>25</v>
      </c>
      <c r="L1" t="s">
        <v>12</v>
      </c>
      <c r="M1" t="s">
        <v>91</v>
      </c>
    </row>
    <row r="2" spans="1:13" x14ac:dyDescent="0.2">
      <c r="B2" t="s">
        <v>88</v>
      </c>
      <c r="D2" s="33" t="s">
        <v>16</v>
      </c>
      <c r="E2" s="33" t="s">
        <v>18</v>
      </c>
      <c r="F2" s="33" t="s">
        <v>20</v>
      </c>
      <c r="G2" s="33" t="s">
        <v>17</v>
      </c>
      <c r="H2" s="33" t="s">
        <v>19</v>
      </c>
      <c r="I2" s="33" t="s">
        <v>21</v>
      </c>
      <c r="K2" t="s">
        <v>22</v>
      </c>
      <c r="L2" t="s">
        <v>23</v>
      </c>
      <c r="M2" t="s">
        <v>24</v>
      </c>
    </row>
    <row r="3" spans="1:13" ht="25.5" x14ac:dyDescent="0.2">
      <c r="A3" s="30" t="s">
        <v>139</v>
      </c>
      <c r="B3" s="37" t="s">
        <v>15</v>
      </c>
      <c r="D3" s="32">
        <v>0.1221</v>
      </c>
      <c r="E3" s="32">
        <v>5.0000000000000001E-3</v>
      </c>
      <c r="F3" s="34">
        <v>0.02</v>
      </c>
      <c r="G3" s="32">
        <v>1.7100000000000001E-2</v>
      </c>
      <c r="H3" s="32">
        <v>0.03</v>
      </c>
      <c r="I3" s="35">
        <v>0.1</v>
      </c>
    </row>
    <row r="4" spans="1:13" x14ac:dyDescent="0.2">
      <c r="A4" s="113" t="s">
        <v>2</v>
      </c>
      <c r="B4" s="114">
        <v>42500</v>
      </c>
      <c r="C4" s="95">
        <f>+GETPIVOTDATA("TOTAL GANADO",$A$3,"AFP","FUTURO ")</f>
        <v>42500</v>
      </c>
      <c r="D4" s="95">
        <f>+C4*D3</f>
        <v>5189.25</v>
      </c>
      <c r="E4" s="95">
        <f>+C4*E3</f>
        <v>212.5</v>
      </c>
      <c r="F4" s="95">
        <f>+C4*F3</f>
        <v>850</v>
      </c>
      <c r="G4" s="95">
        <f>+C4*G3</f>
        <v>726.75</v>
      </c>
      <c r="H4" s="95">
        <f>+C4*H3</f>
        <v>1275</v>
      </c>
      <c r="I4" s="95"/>
      <c r="J4" s="95"/>
      <c r="K4" s="95">
        <f>+D4+G4</f>
        <v>5916</v>
      </c>
      <c r="L4" s="95">
        <f>+F4</f>
        <v>850</v>
      </c>
      <c r="M4" s="95">
        <f>+H4+E4</f>
        <v>1487.5</v>
      </c>
    </row>
    <row r="5" spans="1:13" x14ac:dyDescent="0.2">
      <c r="A5" s="113" t="s">
        <v>3</v>
      </c>
      <c r="B5" s="114">
        <v>20000</v>
      </c>
      <c r="C5" s="95">
        <f>+GETPIVOTDATA("TOTAL GANADO",$A$3,"AFP","PREVISION")</f>
        <v>20000</v>
      </c>
      <c r="D5" s="95">
        <f>+C5*D3</f>
        <v>2442</v>
      </c>
      <c r="E5" s="95">
        <f>+C5*E3</f>
        <v>100</v>
      </c>
      <c r="F5" s="95">
        <f>+C5*F3</f>
        <v>400</v>
      </c>
      <c r="G5" s="95">
        <f>+C5*G3</f>
        <v>342</v>
      </c>
      <c r="H5" s="95">
        <f>+C5*H3</f>
        <v>600</v>
      </c>
      <c r="I5" s="95"/>
      <c r="J5" s="95"/>
      <c r="K5" s="95">
        <f>+D5+G5</f>
        <v>2784</v>
      </c>
      <c r="L5" s="95">
        <f>+F5</f>
        <v>400</v>
      </c>
      <c r="M5" s="95">
        <f>+H5+E5</f>
        <v>700</v>
      </c>
    </row>
    <row r="6" spans="1:13" x14ac:dyDescent="0.2">
      <c r="A6" s="31" t="s">
        <v>14</v>
      </c>
      <c r="B6" s="36">
        <v>62500</v>
      </c>
      <c r="C6" s="95">
        <f t="shared" ref="C6:H6" si="0">SUM(C4:C5)</f>
        <v>62500</v>
      </c>
      <c r="D6" s="95">
        <f t="shared" si="0"/>
        <v>7631.25</v>
      </c>
      <c r="E6" s="95">
        <f t="shared" si="0"/>
        <v>312.5</v>
      </c>
      <c r="F6" s="95">
        <f t="shared" si="0"/>
        <v>1250</v>
      </c>
      <c r="G6" s="95">
        <f t="shared" si="0"/>
        <v>1068.75</v>
      </c>
      <c r="H6" s="95">
        <f t="shared" si="0"/>
        <v>1875</v>
      </c>
      <c r="I6" s="95">
        <f>+GETPIVOTDATA("TOTAL GANADO",$A$3)*0.1</f>
        <v>6250</v>
      </c>
      <c r="J6" s="95"/>
      <c r="K6" s="95"/>
      <c r="L6" s="95"/>
      <c r="M6" s="95"/>
    </row>
    <row r="7" spans="1:13" x14ac:dyDescent="0.2"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spans="1:13" x14ac:dyDescent="0.2"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 x14ac:dyDescent="0.2">
      <c r="C9" s="95"/>
      <c r="D9" s="96"/>
      <c r="E9" s="95"/>
      <c r="F9" s="95"/>
      <c r="G9" s="95"/>
      <c r="H9" s="95"/>
      <c r="I9" s="95"/>
      <c r="J9" s="95"/>
      <c r="K9" s="95"/>
      <c r="L9" s="95"/>
      <c r="M9" s="95"/>
    </row>
  </sheetData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0"/>
  <sheetViews>
    <sheetView zoomScale="85" zoomScaleNormal="85" workbookViewId="0">
      <selection activeCell="E37" sqref="E37"/>
    </sheetView>
  </sheetViews>
  <sheetFormatPr baseColWidth="10" defaultRowHeight="15" x14ac:dyDescent="0.25"/>
  <cols>
    <col min="1" max="1" width="22.28515625" style="54" customWidth="1"/>
    <col min="2" max="2" width="19" style="55" customWidth="1"/>
    <col min="3" max="3" width="15.7109375" style="55" customWidth="1"/>
    <col min="4" max="5" width="12.42578125" style="55" customWidth="1"/>
    <col min="6" max="6" width="13.28515625" style="55" customWidth="1"/>
    <col min="7" max="8" width="11.42578125" style="55"/>
    <col min="9" max="9" width="6.5703125" style="55" customWidth="1"/>
    <col min="10" max="10" width="19" style="54" customWidth="1"/>
    <col min="11" max="11" width="10.28515625" style="54" customWidth="1"/>
    <col min="12" max="12" width="28" style="54" customWidth="1"/>
    <col min="13" max="13" width="10" style="54" customWidth="1"/>
    <col min="14" max="14" width="25.28515625" style="54" customWidth="1"/>
    <col min="15" max="15" width="10.85546875" style="54" customWidth="1"/>
    <col min="16" max="16" width="31" style="54" bestFit="1" customWidth="1"/>
    <col min="17" max="17" width="38.140625" style="54" bestFit="1" customWidth="1"/>
    <col min="18" max="16384" width="11.42578125" style="54"/>
  </cols>
  <sheetData>
    <row r="1" spans="1:15" x14ac:dyDescent="0.25">
      <c r="A1" s="54" t="s">
        <v>31</v>
      </c>
    </row>
    <row r="2" spans="1:15" x14ac:dyDescent="0.25">
      <c r="A2" s="115" t="s">
        <v>135</v>
      </c>
    </row>
    <row r="3" spans="1:15" x14ac:dyDescent="0.25">
      <c r="A3" s="134" t="s">
        <v>140</v>
      </c>
    </row>
    <row r="5" spans="1:15" x14ac:dyDescent="0.25">
      <c r="A5" s="54" t="s">
        <v>86</v>
      </c>
    </row>
    <row r="7" spans="1:15" x14ac:dyDescent="0.25">
      <c r="C7" s="143" t="s">
        <v>16</v>
      </c>
      <c r="D7" s="143"/>
      <c r="E7" s="143" t="s">
        <v>20</v>
      </c>
      <c r="F7" s="143"/>
      <c r="G7" s="143"/>
      <c r="H7" s="143"/>
    </row>
    <row r="8" spans="1:15" x14ac:dyDescent="0.25">
      <c r="C8" s="56" t="s">
        <v>32</v>
      </c>
      <c r="D8" s="56" t="s">
        <v>13</v>
      </c>
      <c r="E8" s="56" t="s">
        <v>33</v>
      </c>
      <c r="F8" s="56" t="s">
        <v>32</v>
      </c>
      <c r="G8" s="56" t="s">
        <v>13</v>
      </c>
      <c r="H8" s="57" t="s">
        <v>34</v>
      </c>
    </row>
    <row r="9" spans="1:15" s="75" customFormat="1" x14ac:dyDescent="0.25">
      <c r="A9" s="74" t="s">
        <v>35</v>
      </c>
      <c r="B9" s="75" t="s">
        <v>4</v>
      </c>
      <c r="C9" s="76" t="s">
        <v>142</v>
      </c>
      <c r="D9" s="76" t="s">
        <v>143</v>
      </c>
      <c r="E9" s="77" t="s">
        <v>144</v>
      </c>
      <c r="F9" s="76" t="s">
        <v>145</v>
      </c>
      <c r="G9" s="76" t="s">
        <v>146</v>
      </c>
      <c r="H9" s="78" t="s">
        <v>36</v>
      </c>
      <c r="I9" s="79"/>
    </row>
    <row r="10" spans="1:15" x14ac:dyDescent="0.25">
      <c r="A10" s="58" t="s">
        <v>2</v>
      </c>
      <c r="B10" s="99">
        <f>+'(paso 3) Actualizar'!C4</f>
        <v>42500</v>
      </c>
      <c r="C10" s="99">
        <f>+B10*C9</f>
        <v>5189.25</v>
      </c>
      <c r="D10" s="99">
        <f>+B10*D9</f>
        <v>212.5</v>
      </c>
      <c r="E10" s="99">
        <f>+B10*E9</f>
        <v>850</v>
      </c>
      <c r="F10" s="99">
        <f>+B10*F9</f>
        <v>726.75</v>
      </c>
      <c r="G10" s="99">
        <f>+B10*G9</f>
        <v>1275</v>
      </c>
      <c r="H10" s="59"/>
    </row>
    <row r="11" spans="1:15" x14ac:dyDescent="0.25">
      <c r="A11" s="58" t="s">
        <v>3</v>
      </c>
      <c r="B11" s="99">
        <f>+'(paso 3) Actualizar'!C5</f>
        <v>20000</v>
      </c>
      <c r="C11" s="99">
        <f>+B11*C9</f>
        <v>2442</v>
      </c>
      <c r="D11" s="99">
        <f>+B11*D9</f>
        <v>100</v>
      </c>
      <c r="E11" s="99">
        <f>+B11*E9</f>
        <v>400</v>
      </c>
      <c r="F11" s="99">
        <f>+B11*F9</f>
        <v>342</v>
      </c>
      <c r="G11" s="99">
        <f>+B11*G9</f>
        <v>600</v>
      </c>
      <c r="H11" s="59"/>
    </row>
    <row r="12" spans="1:15" s="75" customFormat="1" x14ac:dyDescent="0.25">
      <c r="A12" s="80"/>
      <c r="B12" s="100">
        <f>SUBTOTAL(109,Tabla3[TOTAL GANADO])</f>
        <v>62500</v>
      </c>
      <c r="C12" s="100">
        <f>SUBTOTAL(109,Tabla3[12,21%])</f>
        <v>7631.25</v>
      </c>
      <c r="D12" s="100">
        <f>SUBTOTAL(109,Tabla3[0,50%])</f>
        <v>312.5</v>
      </c>
      <c r="E12" s="100">
        <f>SUBTOTAL(109,Tabla3[2,00%])</f>
        <v>1250</v>
      </c>
      <c r="F12" s="100">
        <f>SUBTOTAL(109,Tabla3[1,71%])</f>
        <v>1068.75</v>
      </c>
      <c r="G12" s="100">
        <f>SUBTOTAL(109,Tabla3[3,00%])</f>
        <v>1875</v>
      </c>
      <c r="H12" s="82">
        <f>+Tabla3[[#Totals],[TOTAL GANADO]]*0.1</f>
        <v>6250</v>
      </c>
      <c r="I12" s="79"/>
      <c r="J12" s="67" t="s">
        <v>128</v>
      </c>
    </row>
    <row r="14" spans="1:15" x14ac:dyDescent="0.25">
      <c r="F14" s="89" t="s">
        <v>136</v>
      </c>
      <c r="H14" s="55">
        <f>+Tabla3[[#Totals],[TOTAL GANADO]]*8.333%</f>
        <v>5208.125</v>
      </c>
      <c r="J14" s="106" t="str">
        <f>+A10</f>
        <v xml:space="preserve">FUTURO </v>
      </c>
      <c r="K14" s="97"/>
    </row>
    <row r="15" spans="1:15" x14ac:dyDescent="0.25">
      <c r="A15" s="54" t="s">
        <v>87</v>
      </c>
      <c r="F15" s="89" t="s">
        <v>137</v>
      </c>
      <c r="H15" s="55">
        <f>+Tabla3[[#Totals],[TOTAL GANADO]]*8.333%</f>
        <v>5208.125</v>
      </c>
      <c r="J15" s="144" t="s">
        <v>92</v>
      </c>
      <c r="K15" s="145"/>
      <c r="L15" s="145"/>
      <c r="M15" s="145"/>
      <c r="N15" s="145"/>
      <c r="O15" s="146"/>
    </row>
    <row r="16" spans="1:15" x14ac:dyDescent="0.25">
      <c r="J16" s="144" t="s">
        <v>93</v>
      </c>
      <c r="K16" s="146"/>
      <c r="L16" s="144" t="s">
        <v>94</v>
      </c>
      <c r="M16" s="146"/>
      <c r="N16" s="144" t="s">
        <v>95</v>
      </c>
      <c r="O16" s="146"/>
    </row>
    <row r="17" spans="1:15" ht="14.25" customHeight="1" x14ac:dyDescent="0.25">
      <c r="A17" s="55" t="s">
        <v>147</v>
      </c>
      <c r="B17" s="60" t="s">
        <v>37</v>
      </c>
      <c r="C17" s="60" t="s">
        <v>38</v>
      </c>
      <c r="D17" s="60" t="s">
        <v>39</v>
      </c>
      <c r="E17" s="60" t="s">
        <v>40</v>
      </c>
      <c r="J17" s="103" t="s">
        <v>96</v>
      </c>
      <c r="K17" s="107">
        <f>+B10</f>
        <v>42500</v>
      </c>
      <c r="L17" s="103" t="s">
        <v>97</v>
      </c>
      <c r="M17" s="104">
        <f>+K17</f>
        <v>42500</v>
      </c>
      <c r="N17" s="103" t="s">
        <v>98</v>
      </c>
      <c r="O17" s="104">
        <f>+M17</f>
        <v>42500</v>
      </c>
    </row>
    <row r="18" spans="1:15" ht="14.25" customHeight="1" x14ac:dyDescent="0.25">
      <c r="A18" s="55"/>
      <c r="B18" s="61" t="s">
        <v>41</v>
      </c>
      <c r="C18" s="61" t="s">
        <v>42</v>
      </c>
      <c r="D18" s="61" t="s">
        <v>43</v>
      </c>
      <c r="E18" s="61" t="s">
        <v>44</v>
      </c>
      <c r="J18" s="103" t="s">
        <v>99</v>
      </c>
      <c r="K18" s="104">
        <v>0</v>
      </c>
      <c r="L18" s="103" t="s">
        <v>100</v>
      </c>
      <c r="M18" s="104">
        <f>+M17*0.02</f>
        <v>850</v>
      </c>
      <c r="N18" s="103" t="s">
        <v>101</v>
      </c>
      <c r="O18" s="104">
        <v>0</v>
      </c>
    </row>
    <row r="19" spans="1:15" s="75" customFormat="1" ht="34.5" customHeight="1" x14ac:dyDescent="0.25">
      <c r="A19" s="83" t="s">
        <v>45</v>
      </c>
      <c r="B19" s="84" t="s">
        <v>46</v>
      </c>
      <c r="C19" s="84" t="s">
        <v>47</v>
      </c>
      <c r="D19" s="84" t="s">
        <v>48</v>
      </c>
      <c r="E19" s="84" t="s">
        <v>49</v>
      </c>
      <c r="F19" s="79"/>
      <c r="G19" s="79"/>
      <c r="H19" s="79"/>
      <c r="I19" s="79"/>
      <c r="J19" s="103" t="s">
        <v>102</v>
      </c>
      <c r="K19" s="104">
        <v>0</v>
      </c>
      <c r="L19" s="103" t="s">
        <v>103</v>
      </c>
      <c r="M19" s="104">
        <v>0</v>
      </c>
      <c r="N19" s="103" t="s">
        <v>104</v>
      </c>
      <c r="O19" s="104">
        <f>+O17*0.03</f>
        <v>1275</v>
      </c>
    </row>
    <row r="20" spans="1:15" ht="22.5" customHeight="1" x14ac:dyDescent="0.25">
      <c r="A20" s="62" t="s">
        <v>50</v>
      </c>
      <c r="B20" s="55">
        <f>+C10+F10</f>
        <v>5916</v>
      </c>
      <c r="C20" s="55">
        <f>+E10</f>
        <v>850</v>
      </c>
      <c r="D20" s="55">
        <f>+D10+G10</f>
        <v>1487.5</v>
      </c>
      <c r="E20" s="55">
        <f>+'(paso 2) no hacer nada'!R9</f>
        <v>1170</v>
      </c>
      <c r="J20" s="103" t="s">
        <v>105</v>
      </c>
      <c r="K20" s="104">
        <v>0</v>
      </c>
      <c r="L20" s="103" t="s">
        <v>106</v>
      </c>
      <c r="M20" s="104">
        <v>0</v>
      </c>
      <c r="N20" s="103" t="s">
        <v>107</v>
      </c>
      <c r="O20" s="104">
        <f>+O17*0.005</f>
        <v>212.5</v>
      </c>
    </row>
    <row r="21" spans="1:15" ht="26.25" customHeight="1" thickBot="1" x14ac:dyDescent="0.3">
      <c r="A21" s="62" t="s">
        <v>51</v>
      </c>
      <c r="B21" s="55">
        <f>+C11+F11</f>
        <v>2784</v>
      </c>
      <c r="C21" s="55">
        <f>+E11</f>
        <v>400</v>
      </c>
      <c r="D21" s="55">
        <f>+D11+G11</f>
        <v>700</v>
      </c>
      <c r="E21" s="55">
        <f>+'(paso 2) no hacer nada'!R10</f>
        <v>70</v>
      </c>
      <c r="J21" s="103" t="s">
        <v>108</v>
      </c>
      <c r="K21" s="104">
        <f>+K17*0.1392</f>
        <v>5916</v>
      </c>
      <c r="L21" s="103" t="s">
        <v>109</v>
      </c>
      <c r="M21" s="104">
        <f>+M18</f>
        <v>850</v>
      </c>
      <c r="N21" s="103" t="s">
        <v>110</v>
      </c>
      <c r="O21" s="104">
        <v>0</v>
      </c>
    </row>
    <row r="22" spans="1:15" ht="17.25" customHeight="1" thickBot="1" x14ac:dyDescent="0.3">
      <c r="A22" s="80" t="s">
        <v>52</v>
      </c>
      <c r="B22" s="81">
        <f>SUBTOTAL(109,Tabla46[Aportes para el FCI])</f>
        <v>8700</v>
      </c>
      <c r="C22" s="81">
        <f>SUBTOTAL(109,Tabla46[Aporte patronal])</f>
        <v>1250</v>
      </c>
      <c r="D22" s="81">
        <f>SUBTOTAL(109,Tabla46[Fondo Solidario])</f>
        <v>2187.5</v>
      </c>
      <c r="E22" s="81">
        <f>SUBTOTAL(109,Tabla46[Fondo Nacional Solidario])</f>
        <v>1240</v>
      </c>
      <c r="F22" s="63">
        <f>SUM(Tabla46[[#Totals],[Aportes para el FCI]:[Fondo Nacional Solidario]])</f>
        <v>13377.5</v>
      </c>
      <c r="G22" s="55" t="s">
        <v>53</v>
      </c>
      <c r="J22" s="103" t="s">
        <v>111</v>
      </c>
      <c r="K22" s="104">
        <v>0</v>
      </c>
      <c r="L22" s="142" t="s">
        <v>112</v>
      </c>
      <c r="M22" s="142"/>
      <c r="N22" s="103" t="s">
        <v>113</v>
      </c>
      <c r="O22" s="104">
        <f>+O19+O20</f>
        <v>1487.5</v>
      </c>
    </row>
    <row r="23" spans="1:15" s="55" customFormat="1" ht="14.25" customHeight="1" thickBot="1" x14ac:dyDescent="0.25">
      <c r="F23" s="91" t="s">
        <v>54</v>
      </c>
      <c r="J23" s="103" t="s">
        <v>114</v>
      </c>
      <c r="K23" s="104">
        <v>0</v>
      </c>
      <c r="L23" s="142"/>
      <c r="M23" s="142"/>
      <c r="N23" s="103" t="s">
        <v>115</v>
      </c>
      <c r="O23" s="104">
        <v>0</v>
      </c>
    </row>
    <row r="24" spans="1:15" s="55" customFormat="1" ht="14.25" customHeight="1" x14ac:dyDescent="0.2">
      <c r="F24" s="101"/>
      <c r="J24" s="103" t="s">
        <v>116</v>
      </c>
      <c r="K24" s="104">
        <v>0</v>
      </c>
      <c r="L24" s="142"/>
      <c r="M24" s="142"/>
      <c r="N24" s="103" t="s">
        <v>117</v>
      </c>
      <c r="O24" s="104">
        <v>0</v>
      </c>
    </row>
    <row r="25" spans="1:15" s="55" customFormat="1" ht="14.25" customHeight="1" x14ac:dyDescent="0.2">
      <c r="F25" s="101"/>
      <c r="J25" s="103" t="s">
        <v>118</v>
      </c>
      <c r="K25" s="104">
        <v>0</v>
      </c>
      <c r="L25" s="142"/>
      <c r="M25" s="142"/>
      <c r="N25" s="103" t="s">
        <v>119</v>
      </c>
      <c r="O25" s="104">
        <f>+O22</f>
        <v>1487.5</v>
      </c>
    </row>
    <row r="26" spans="1:15" s="55" customFormat="1" ht="14.25" customHeight="1" x14ac:dyDescent="0.25">
      <c r="J26" s="102" t="s">
        <v>120</v>
      </c>
      <c r="K26" s="105">
        <f>+K21</f>
        <v>5916</v>
      </c>
      <c r="L26" s="136" t="s">
        <v>121</v>
      </c>
      <c r="M26" s="137"/>
      <c r="N26" s="137"/>
      <c r="O26" s="138"/>
    </row>
    <row r="27" spans="1:15" s="55" customFormat="1" ht="14.25" customHeight="1" x14ac:dyDescent="0.25">
      <c r="J27" s="102" t="s">
        <v>122</v>
      </c>
      <c r="K27" s="105">
        <v>0</v>
      </c>
      <c r="L27" s="139" t="s">
        <v>123</v>
      </c>
      <c r="M27" s="140"/>
      <c r="N27" s="140"/>
      <c r="O27" s="141"/>
    </row>
    <row r="28" spans="1:15" s="55" customFormat="1" ht="14.25" customHeight="1" x14ac:dyDescent="0.25">
      <c r="F28" s="101"/>
      <c r="J28" s="102" t="s">
        <v>124</v>
      </c>
      <c r="K28" s="105">
        <v>0</v>
      </c>
      <c r="L28" s="142" t="s">
        <v>125</v>
      </c>
      <c r="M28" s="142"/>
      <c r="N28" s="142"/>
      <c r="O28" s="142"/>
    </row>
    <row r="29" spans="1:15" s="55" customFormat="1" ht="14.25" customHeight="1" x14ac:dyDescent="0.25">
      <c r="F29" s="101"/>
      <c r="J29" s="102" t="s">
        <v>126</v>
      </c>
      <c r="K29" s="105">
        <f>+K26</f>
        <v>5916</v>
      </c>
      <c r="L29" s="139" t="s">
        <v>127</v>
      </c>
      <c r="M29" s="140"/>
      <c r="N29" s="140"/>
      <c r="O29" s="141"/>
    </row>
    <row r="30" spans="1:15" s="55" customFormat="1" ht="14.25" customHeight="1" x14ac:dyDescent="0.25">
      <c r="F30" s="64"/>
      <c r="J30" s="54"/>
    </row>
    <row r="31" spans="1:15" s="55" customFormat="1" ht="13.5" customHeight="1" x14ac:dyDescent="0.25">
      <c r="A31" s="89" t="s">
        <v>85</v>
      </c>
      <c r="F31" s="64"/>
      <c r="J31" s="54"/>
      <c r="K31" s="54"/>
      <c r="L31" s="54"/>
      <c r="M31" s="54"/>
      <c r="N31" s="54"/>
      <c r="O31" s="54"/>
    </row>
    <row r="32" spans="1:15" s="55" customFormat="1" ht="13.5" customHeight="1" x14ac:dyDescent="0.25">
      <c r="F32" s="64"/>
      <c r="G32" s="55" t="s">
        <v>89</v>
      </c>
      <c r="J32" s="106" t="str">
        <f>+A11</f>
        <v>PREVISION</v>
      </c>
      <c r="K32" s="97"/>
      <c r="L32" s="54"/>
      <c r="M32" s="54"/>
      <c r="N32" s="54"/>
      <c r="O32" s="54"/>
    </row>
    <row r="33" spans="1:15" s="55" customFormat="1" ht="13.5" customHeight="1" thickBot="1" x14ac:dyDescent="0.3">
      <c r="A33" s="65" t="s">
        <v>55</v>
      </c>
      <c r="F33" s="66" t="s">
        <v>56</v>
      </c>
      <c r="J33" s="144" t="s">
        <v>92</v>
      </c>
      <c r="K33" s="145"/>
      <c r="L33" s="145"/>
      <c r="M33" s="145"/>
      <c r="N33" s="145"/>
      <c r="O33" s="146"/>
    </row>
    <row r="34" spans="1:15" s="111" customFormat="1" ht="13.5" customHeight="1" thickTop="1" x14ac:dyDescent="0.25">
      <c r="A34" s="110" t="s">
        <v>55</v>
      </c>
      <c r="B34" s="111" t="s">
        <v>57</v>
      </c>
      <c r="C34" s="111" t="s">
        <v>58</v>
      </c>
      <c r="D34" s="111" t="s">
        <v>59</v>
      </c>
      <c r="E34" s="111" t="s">
        <v>148</v>
      </c>
      <c r="F34" s="112" t="s">
        <v>56</v>
      </c>
      <c r="J34" s="144" t="s">
        <v>93</v>
      </c>
      <c r="K34" s="146"/>
      <c r="L34" s="144" t="s">
        <v>94</v>
      </c>
      <c r="M34" s="146"/>
      <c r="N34" s="144" t="s">
        <v>95</v>
      </c>
      <c r="O34" s="146"/>
    </row>
    <row r="35" spans="1:15" s="55" customFormat="1" ht="13.5" customHeight="1" x14ac:dyDescent="0.25">
      <c r="A35" s="68" t="s">
        <v>60</v>
      </c>
      <c r="B35" s="69"/>
      <c r="C35" s="69"/>
      <c r="D35" s="69"/>
      <c r="E35" s="70">
        <f t="shared" ref="E35:E42" si="0">+B20</f>
        <v>5916</v>
      </c>
      <c r="F35" s="108">
        <f>+((B20-0.01)/6.85)</f>
        <v>863.64817518248174</v>
      </c>
      <c r="J35" s="103" t="s">
        <v>96</v>
      </c>
      <c r="K35" s="107">
        <f>+B11</f>
        <v>20000</v>
      </c>
      <c r="L35" s="103" t="s">
        <v>97</v>
      </c>
      <c r="M35" s="104">
        <f>+K35</f>
        <v>20000</v>
      </c>
      <c r="N35" s="103" t="s">
        <v>98</v>
      </c>
      <c r="O35" s="104">
        <f>+M35</f>
        <v>20000</v>
      </c>
    </row>
    <row r="36" spans="1:15" s="55" customFormat="1" ht="13.5" customHeight="1" x14ac:dyDescent="0.25">
      <c r="A36" s="68" t="s">
        <v>61</v>
      </c>
      <c r="B36" s="69"/>
      <c r="C36" s="69"/>
      <c r="D36" s="69"/>
      <c r="E36" s="70">
        <f>+C20</f>
        <v>850</v>
      </c>
      <c r="F36" s="108">
        <f>+((C20-0.01)/6.85)</f>
        <v>124.08613138686133</v>
      </c>
      <c r="J36" s="103" t="s">
        <v>99</v>
      </c>
      <c r="K36" s="104">
        <v>0</v>
      </c>
      <c r="L36" s="103" t="s">
        <v>100</v>
      </c>
      <c r="M36" s="104">
        <f>+M35*0.02</f>
        <v>400</v>
      </c>
      <c r="N36" s="103" t="s">
        <v>101</v>
      </c>
      <c r="O36" s="104">
        <v>0</v>
      </c>
    </row>
    <row r="37" spans="1:15" s="55" customFormat="1" ht="13.5" customHeight="1" x14ac:dyDescent="0.25">
      <c r="A37" s="68" t="s">
        <v>62</v>
      </c>
      <c r="B37" s="69"/>
      <c r="C37" s="69"/>
      <c r="D37" s="69"/>
      <c r="E37" s="70">
        <f>+D20</f>
        <v>1487.5</v>
      </c>
      <c r="F37" s="108">
        <f>+((D20-0.01)/6.85)</f>
        <v>217.15182481751827</v>
      </c>
      <c r="J37" s="103" t="s">
        <v>102</v>
      </c>
      <c r="K37" s="104">
        <v>0</v>
      </c>
      <c r="L37" s="103" t="s">
        <v>103</v>
      </c>
      <c r="M37" s="104">
        <v>0</v>
      </c>
      <c r="N37" s="103" t="s">
        <v>104</v>
      </c>
      <c r="O37" s="104">
        <f>+O35*0.03</f>
        <v>600</v>
      </c>
    </row>
    <row r="38" spans="1:15" s="55" customFormat="1" ht="13.5" customHeight="1" x14ac:dyDescent="0.25">
      <c r="A38" s="68" t="s">
        <v>63</v>
      </c>
      <c r="B38" s="69"/>
      <c r="C38" s="69"/>
      <c r="D38" s="69"/>
      <c r="E38" s="70">
        <f>+E20</f>
        <v>1170</v>
      </c>
      <c r="F38" s="108">
        <f>+((E20-0.01)/6.85)</f>
        <v>170.80145985401461</v>
      </c>
      <c r="J38" s="103" t="s">
        <v>105</v>
      </c>
      <c r="K38" s="104">
        <v>0</v>
      </c>
      <c r="L38" s="103" t="s">
        <v>106</v>
      </c>
      <c r="M38" s="104">
        <v>0</v>
      </c>
      <c r="N38" s="103" t="s">
        <v>107</v>
      </c>
      <c r="O38" s="104">
        <f>+O35*0.005</f>
        <v>100</v>
      </c>
    </row>
    <row r="39" spans="1:15" s="55" customFormat="1" ht="13.5" customHeight="1" x14ac:dyDescent="0.25">
      <c r="A39" s="68" t="s">
        <v>64</v>
      </c>
      <c r="B39" s="69"/>
      <c r="C39" s="69"/>
      <c r="D39" s="69"/>
      <c r="E39" s="70">
        <f>+B21</f>
        <v>2784</v>
      </c>
      <c r="F39" s="108">
        <f>+((B21-0.01)/6.85)</f>
        <v>406.42189781021898</v>
      </c>
      <c r="J39" s="103" t="s">
        <v>108</v>
      </c>
      <c r="K39" s="104">
        <f>+K35*0.1392</f>
        <v>2784</v>
      </c>
      <c r="L39" s="103" t="s">
        <v>109</v>
      </c>
      <c r="M39" s="104">
        <f>+M36</f>
        <v>400</v>
      </c>
      <c r="N39" s="103" t="s">
        <v>110</v>
      </c>
      <c r="O39" s="104">
        <v>0</v>
      </c>
    </row>
    <row r="40" spans="1:15" s="55" customFormat="1" ht="14.25" customHeight="1" x14ac:dyDescent="0.25">
      <c r="A40" s="68" t="s">
        <v>61</v>
      </c>
      <c r="B40" s="69"/>
      <c r="C40" s="69"/>
      <c r="D40" s="69"/>
      <c r="E40" s="70">
        <f>+C21</f>
        <v>400</v>
      </c>
      <c r="F40" s="108">
        <f>+((C21-0.01)/6.85)</f>
        <v>58.392700729927014</v>
      </c>
      <c r="J40" s="103" t="s">
        <v>111</v>
      </c>
      <c r="K40" s="104">
        <v>0</v>
      </c>
      <c r="L40" s="142" t="s">
        <v>112</v>
      </c>
      <c r="M40" s="142"/>
      <c r="N40" s="103" t="s">
        <v>113</v>
      </c>
      <c r="O40" s="104">
        <f>+O37+O38</f>
        <v>700</v>
      </c>
    </row>
    <row r="41" spans="1:15" s="55" customFormat="1" ht="14.25" customHeight="1" x14ac:dyDescent="0.25">
      <c r="A41" s="71" t="s">
        <v>65</v>
      </c>
      <c r="B41" s="72"/>
      <c r="C41" s="72"/>
      <c r="D41" s="72"/>
      <c r="E41" s="73">
        <f>+D21</f>
        <v>700</v>
      </c>
      <c r="F41" s="109">
        <f>+((D21-0.01)/6.85)</f>
        <v>102.18832116788322</v>
      </c>
      <c r="J41" s="103" t="s">
        <v>114</v>
      </c>
      <c r="K41" s="104">
        <v>0</v>
      </c>
      <c r="L41" s="142"/>
      <c r="M41" s="142"/>
      <c r="N41" s="103" t="s">
        <v>115</v>
      </c>
      <c r="O41" s="104">
        <v>0</v>
      </c>
    </row>
    <row r="42" spans="1:15" s="55" customFormat="1" ht="14.25" customHeight="1" x14ac:dyDescent="0.25">
      <c r="A42" s="126" t="s">
        <v>138</v>
      </c>
      <c r="B42" s="72"/>
      <c r="C42" s="72"/>
      <c r="D42" s="72"/>
      <c r="E42" s="73">
        <f>+E21</f>
        <v>70</v>
      </c>
      <c r="F42" s="109">
        <f>+E21/6.85</f>
        <v>10.218978102189782</v>
      </c>
      <c r="J42" s="103"/>
      <c r="K42" s="104"/>
      <c r="L42" s="142"/>
      <c r="M42" s="142"/>
      <c r="N42" s="103"/>
      <c r="O42" s="104"/>
    </row>
    <row r="43" spans="1:15" s="55" customFormat="1" ht="14.25" customHeight="1" x14ac:dyDescent="0.25">
      <c r="A43" s="123"/>
      <c r="B43" s="124"/>
      <c r="C43" s="124"/>
      <c r="D43" s="124"/>
      <c r="E43" s="125">
        <f>SUBTOTAL(109,Tabla6[Monto Bs])</f>
        <v>13377.5</v>
      </c>
      <c r="F43" s="125">
        <f>SUBTOTAL(109,Tabla6[Monto Usd])</f>
        <v>1952.9094890510951</v>
      </c>
      <c r="G43" s="55" t="s">
        <v>66</v>
      </c>
      <c r="J43" s="103" t="s">
        <v>116</v>
      </c>
      <c r="K43" s="104">
        <v>0</v>
      </c>
      <c r="L43" s="142"/>
      <c r="M43" s="142"/>
      <c r="N43" s="103" t="s">
        <v>117</v>
      </c>
      <c r="O43" s="104">
        <v>0</v>
      </c>
    </row>
    <row r="44" spans="1:15" s="55" customFormat="1" ht="14.25" customHeight="1" x14ac:dyDescent="0.25">
      <c r="A44" s="54"/>
      <c r="F44" s="89"/>
      <c r="J44" s="103" t="s">
        <v>118</v>
      </c>
      <c r="K44" s="104">
        <v>0</v>
      </c>
      <c r="L44" s="142"/>
      <c r="M44" s="142"/>
      <c r="N44" s="103" t="s">
        <v>119</v>
      </c>
      <c r="O44" s="104">
        <f>+O40</f>
        <v>700</v>
      </c>
    </row>
    <row r="45" spans="1:15" s="55" customFormat="1" ht="14.25" customHeight="1" x14ac:dyDescent="0.25">
      <c r="A45" s="54"/>
      <c r="J45" s="102" t="s">
        <v>120</v>
      </c>
      <c r="K45" s="105">
        <f>+K39</f>
        <v>2784</v>
      </c>
      <c r="L45" s="136" t="s">
        <v>121</v>
      </c>
      <c r="M45" s="137"/>
      <c r="N45" s="137"/>
      <c r="O45" s="138"/>
    </row>
    <row r="46" spans="1:15" s="55" customFormat="1" ht="14.25" customHeight="1" x14ac:dyDescent="0.25">
      <c r="A46" s="54"/>
      <c r="J46" s="102" t="s">
        <v>122</v>
      </c>
      <c r="K46" s="105">
        <v>0</v>
      </c>
      <c r="L46" s="139" t="s">
        <v>123</v>
      </c>
      <c r="M46" s="140"/>
      <c r="N46" s="140"/>
      <c r="O46" s="141"/>
    </row>
    <row r="47" spans="1:15" s="55" customFormat="1" ht="14.25" customHeight="1" x14ac:dyDescent="0.25">
      <c r="A47" s="54"/>
      <c r="J47" s="102" t="s">
        <v>124</v>
      </c>
      <c r="K47" s="105">
        <v>0</v>
      </c>
      <c r="L47" s="142" t="s">
        <v>125</v>
      </c>
      <c r="M47" s="142"/>
      <c r="N47" s="142"/>
      <c r="O47" s="142"/>
    </row>
    <row r="48" spans="1:15" s="55" customFormat="1" ht="14.25" customHeight="1" x14ac:dyDescent="0.25">
      <c r="A48" s="54"/>
      <c r="J48" s="102" t="s">
        <v>126</v>
      </c>
      <c r="K48" s="105">
        <f>+K45</f>
        <v>2784</v>
      </c>
      <c r="L48" s="139" t="s">
        <v>127</v>
      </c>
      <c r="M48" s="140"/>
      <c r="N48" s="140"/>
      <c r="O48" s="141"/>
    </row>
    <row r="49" spans="1:10" s="55" customFormat="1" ht="14.25" customHeight="1" x14ac:dyDescent="0.25">
      <c r="A49" s="54"/>
      <c r="C49" s="90" t="s">
        <v>84</v>
      </c>
      <c r="D49" s="135">
        <f ca="1">TODAY()</f>
        <v>42181</v>
      </c>
      <c r="E49" s="135"/>
      <c r="F49" s="135"/>
      <c r="J49" s="54"/>
    </row>
    <row r="50" spans="1:10" s="55" customFormat="1" x14ac:dyDescent="0.25">
      <c r="A50" s="54"/>
      <c r="J50" s="54"/>
    </row>
    <row r="51" spans="1:10" s="55" customFormat="1" x14ac:dyDescent="0.25">
      <c r="A51" s="54"/>
      <c r="J51" s="54"/>
    </row>
    <row r="52" spans="1:10" s="55" customFormat="1" x14ac:dyDescent="0.25">
      <c r="A52" s="54"/>
      <c r="H52" s="64"/>
      <c r="J52" s="54"/>
    </row>
    <row r="53" spans="1:10" s="55" customFormat="1" hidden="1" x14ac:dyDescent="0.25">
      <c r="J53" s="54"/>
    </row>
    <row r="54" spans="1:10" s="55" customFormat="1" x14ac:dyDescent="0.25">
      <c r="J54" s="54"/>
    </row>
    <row r="55" spans="1:10" s="55" customFormat="1" x14ac:dyDescent="0.25">
      <c r="J55" s="54"/>
    </row>
    <row r="56" spans="1:10" s="55" customFormat="1" x14ac:dyDescent="0.25">
      <c r="J56" s="54"/>
    </row>
    <row r="57" spans="1:10" s="55" customFormat="1" x14ac:dyDescent="0.25">
      <c r="J57" s="54"/>
    </row>
    <row r="58" spans="1:10" s="55" customFormat="1" x14ac:dyDescent="0.25">
      <c r="J58" s="54"/>
    </row>
    <row r="59" spans="1:10" s="55" customFormat="1" x14ac:dyDescent="0.25">
      <c r="J59" s="54"/>
    </row>
    <row r="60" spans="1:10" s="55" customFormat="1" x14ac:dyDescent="0.25">
      <c r="J60" s="54"/>
    </row>
    <row r="61" spans="1:10" s="55" customFormat="1" x14ac:dyDescent="0.25">
      <c r="J61" s="54"/>
    </row>
    <row r="62" spans="1:10" s="55" customFormat="1" x14ac:dyDescent="0.25">
      <c r="J62" s="54"/>
    </row>
    <row r="63" spans="1:10" s="55" customFormat="1" x14ac:dyDescent="0.25">
      <c r="J63" s="54"/>
    </row>
    <row r="64" spans="1:10" s="55" customFormat="1" x14ac:dyDescent="0.25">
      <c r="J64" s="54"/>
    </row>
    <row r="65" spans="2:10" s="55" customFormat="1" x14ac:dyDescent="0.25">
      <c r="J65" s="54"/>
    </row>
    <row r="67" spans="2:10" x14ac:dyDescent="0.25">
      <c r="B67" s="54"/>
      <c r="C67" s="54"/>
      <c r="D67" s="54"/>
      <c r="E67" s="54"/>
      <c r="F67" s="54"/>
      <c r="G67" s="54"/>
    </row>
    <row r="68" spans="2:10" x14ac:dyDescent="0.25">
      <c r="B68" s="54"/>
      <c r="C68" s="54"/>
      <c r="D68" s="54"/>
      <c r="E68" s="54"/>
      <c r="F68" s="54"/>
      <c r="G68" s="54"/>
    </row>
    <row r="69" spans="2:10" x14ac:dyDescent="0.25">
      <c r="B69" s="54"/>
      <c r="C69" s="54"/>
      <c r="D69" s="54"/>
      <c r="E69" s="54"/>
      <c r="F69" s="54"/>
      <c r="G69" s="54"/>
    </row>
    <row r="70" spans="2:10" x14ac:dyDescent="0.25">
      <c r="B70" s="54"/>
      <c r="C70" s="54"/>
      <c r="D70" s="54"/>
      <c r="E70" s="54"/>
      <c r="F70" s="54"/>
      <c r="G70" s="54"/>
    </row>
  </sheetData>
  <mergeCells count="21">
    <mergeCell ref="L22:M25"/>
    <mergeCell ref="L45:O45"/>
    <mergeCell ref="L46:O46"/>
    <mergeCell ref="L47:O47"/>
    <mergeCell ref="L48:O48"/>
    <mergeCell ref="J33:O33"/>
    <mergeCell ref="J34:K34"/>
    <mergeCell ref="L34:M34"/>
    <mergeCell ref="N34:O34"/>
    <mergeCell ref="L40:M44"/>
    <mergeCell ref="C7:D7"/>
    <mergeCell ref="E7:H7"/>
    <mergeCell ref="J15:O15"/>
    <mergeCell ref="J16:K16"/>
    <mergeCell ref="L16:M16"/>
    <mergeCell ref="N16:O16"/>
    <mergeCell ref="D49:F49"/>
    <mergeCell ref="L26:O26"/>
    <mergeCell ref="L27:O27"/>
    <mergeCell ref="L28:O28"/>
    <mergeCell ref="L29:O29"/>
  </mergeCells>
  <pageMargins left="0.70866141732283472" right="0.70866141732283472" top="0.74803149606299213" bottom="0.74803149606299213" header="0.31496062992125984" footer="0.31496062992125984"/>
  <pageSetup scale="80" orientation="portrait" r:id="rId1"/>
  <legacy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(paso 1) llenar Planillas AFP </vt:lpstr>
      <vt:lpstr>(paso 2) no hacer nada</vt:lpstr>
      <vt:lpstr>(paso 3) Actualizar</vt:lpstr>
      <vt:lpstr>Reportes (para forms AFPs)</vt:lpstr>
    </vt:vector>
  </TitlesOfParts>
  <Company>UVirtual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para afps</dc:title>
  <dc:creator>roberto caceres</dc:creator>
  <cp:lastModifiedBy>1</cp:lastModifiedBy>
  <cp:lastPrinted>2012-09-03T20:35:24Z</cp:lastPrinted>
  <dcterms:created xsi:type="dcterms:W3CDTF">2012-02-23T14:23:34Z</dcterms:created>
  <dcterms:modified xsi:type="dcterms:W3CDTF">2015-06-26T15:28:03Z</dcterms:modified>
</cp:coreProperties>
</file>