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pp\Downloads\"/>
    </mc:Choice>
  </mc:AlternateContent>
  <bookViews>
    <workbookView xWindow="0" yWindow="0" windowWidth="20496" windowHeight="7056"/>
  </bookViews>
  <sheets>
    <sheet name="ret" sheetId="7" r:id="rId1"/>
  </sheets>
  <calcPr calcId="162913"/>
</workbook>
</file>

<file path=xl/calcChain.xml><?xml version="1.0" encoding="utf-8"?>
<calcChain xmlns="http://schemas.openxmlformats.org/spreadsheetml/2006/main">
  <c r="M20" i="7" l="1"/>
  <c r="L20" i="7"/>
  <c r="C25" i="7" l="1"/>
  <c r="H26" i="7" s="1"/>
  <c r="H28" i="7" l="1"/>
  <c r="H24" i="7"/>
  <c r="C28" i="7"/>
  <c r="C26" i="7"/>
  <c r="P20" i="7"/>
  <c r="S20" i="7"/>
  <c r="R20" i="7"/>
  <c r="Q20" i="7"/>
  <c r="H30" i="7"/>
  <c r="P8" i="7"/>
  <c r="P9" i="7"/>
  <c r="P10" i="7"/>
  <c r="P11" i="7"/>
  <c r="P12" i="7"/>
  <c r="P13" i="7"/>
  <c r="P14" i="7"/>
  <c r="P15" i="7"/>
  <c r="P16" i="7"/>
  <c r="P17" i="7"/>
  <c r="P18" i="7"/>
  <c r="P19" i="7"/>
  <c r="N20" i="7"/>
  <c r="N8" i="7"/>
  <c r="N9" i="7"/>
  <c r="N10" i="7"/>
  <c r="N11" i="7"/>
  <c r="N12" i="7"/>
  <c r="N13" i="7"/>
  <c r="N14" i="7"/>
  <c r="N15" i="7"/>
  <c r="N16" i="7"/>
  <c r="N17" i="7"/>
  <c r="N18" i="7"/>
  <c r="N19" i="7"/>
  <c r="S13" i="7"/>
  <c r="R12" i="7"/>
  <c r="Q11" i="7"/>
  <c r="R8" i="7"/>
  <c r="R9" i="7"/>
  <c r="R10" i="7"/>
  <c r="R11" i="7"/>
  <c r="R13" i="7"/>
  <c r="R14" i="7"/>
  <c r="R15" i="7"/>
  <c r="R16" i="7"/>
  <c r="R17" i="7"/>
  <c r="R18" i="7"/>
  <c r="R19" i="7"/>
  <c r="O12" i="7"/>
  <c r="M10" i="7"/>
  <c r="M8" i="7"/>
  <c r="M9" i="7"/>
  <c r="M11" i="7"/>
  <c r="M12" i="7"/>
  <c r="M13" i="7"/>
  <c r="M14" i="7"/>
  <c r="M15" i="7"/>
  <c r="M16" i="7"/>
  <c r="M17" i="7"/>
  <c r="M18" i="7"/>
  <c r="M19" i="7"/>
  <c r="Q8" i="7"/>
  <c r="Q9" i="7"/>
  <c r="S10" i="7"/>
  <c r="O8" i="7"/>
  <c r="O9" i="7"/>
  <c r="O10" i="7"/>
  <c r="O11" i="7"/>
  <c r="O13" i="7"/>
  <c r="O14" i="7"/>
  <c r="O15" i="7"/>
  <c r="O16" i="7"/>
  <c r="O17" i="7"/>
  <c r="O18" i="7"/>
  <c r="O19" i="7"/>
  <c r="L10" i="7"/>
  <c r="L9" i="7"/>
  <c r="L8" i="7"/>
  <c r="J8" i="7"/>
  <c r="J9" i="7"/>
  <c r="J10" i="7"/>
  <c r="J11" i="7"/>
  <c r="J12" i="7"/>
  <c r="J13" i="7"/>
  <c r="J14" i="7"/>
  <c r="J15" i="7"/>
  <c r="J16" i="7"/>
  <c r="J17" i="7"/>
  <c r="J18" i="7"/>
  <c r="J19" i="7"/>
  <c r="K8" i="7"/>
  <c r="H20" i="7"/>
  <c r="L11" i="7"/>
  <c r="L12" i="7"/>
  <c r="L13" i="7"/>
  <c r="L14" i="7"/>
  <c r="L15" i="7"/>
  <c r="L16" i="7"/>
  <c r="L17" i="7"/>
  <c r="L18" i="7"/>
  <c r="L19" i="7"/>
  <c r="K10" i="7"/>
  <c r="S8" i="7"/>
  <c r="O20" i="7" l="1"/>
  <c r="C31" i="7" s="1"/>
  <c r="C32" i="7"/>
  <c r="K9" i="7"/>
  <c r="S9" i="7"/>
  <c r="Q10" i="7"/>
  <c r="K11" i="7"/>
  <c r="S11" i="7"/>
  <c r="K12" i="7"/>
  <c r="Q12" i="7"/>
  <c r="S12" i="7"/>
  <c r="K13" i="7"/>
  <c r="Q13" i="7"/>
  <c r="K14" i="7"/>
  <c r="Q14" i="7"/>
  <c r="S14" i="7"/>
  <c r="K15" i="7"/>
  <c r="Q15" i="7"/>
  <c r="S15" i="7"/>
  <c r="K16" i="7"/>
  <c r="Q16" i="7"/>
  <c r="S16" i="7"/>
  <c r="K17" i="7"/>
  <c r="Q17" i="7"/>
  <c r="S17" i="7"/>
  <c r="K18" i="7"/>
  <c r="Q18" i="7"/>
  <c r="S18" i="7"/>
  <c r="K19" i="7"/>
  <c r="Q19" i="7"/>
  <c r="S19" i="7"/>
  <c r="C29" i="7" l="1"/>
  <c r="C34" i="7"/>
  <c r="I20" i="7"/>
  <c r="G20" i="7"/>
  <c r="F20" i="7"/>
  <c r="K20" i="7"/>
  <c r="C23" i="7" s="1"/>
  <c r="E20" i="7" l="1"/>
  <c r="J20" i="7" l="1"/>
</calcChain>
</file>

<file path=xl/sharedStrings.xml><?xml version="1.0" encoding="utf-8"?>
<sst xmlns="http://schemas.openxmlformats.org/spreadsheetml/2006/main" count="53" uniqueCount="45">
  <si>
    <t>Nº Recibo</t>
  </si>
  <si>
    <t>Concepto</t>
  </si>
  <si>
    <t>Bienes IUE 5%</t>
  </si>
  <si>
    <t>Servicios</t>
  </si>
  <si>
    <t>SERVICIOS</t>
  </si>
  <si>
    <t>BIENES</t>
  </si>
  <si>
    <t>VIÁTICOS</t>
  </si>
  <si>
    <t>PAGO EN EFECTIVO</t>
  </si>
  <si>
    <t>Fecha</t>
  </si>
  <si>
    <t>(Expresado en Bolivianos)</t>
  </si>
  <si>
    <t>RETENCIONES POR COMPRAS LOCALES SIN FACTURA</t>
  </si>
  <si>
    <t>NIT</t>
  </si>
  <si>
    <t>NBSDB</t>
  </si>
  <si>
    <t>DSFBSDB</t>
  </si>
  <si>
    <t>SDVAS</t>
  </si>
  <si>
    <t>ASDVASV</t>
  </si>
  <si>
    <t>SDVASVD</t>
  </si>
  <si>
    <t>COLOCAR DATOS EN ESTE MARCO</t>
  </si>
  <si>
    <t>INTERESES DEPÓSITOS</t>
  </si>
  <si>
    <t>ALQUILERES INTERESES</t>
  </si>
  <si>
    <t>CRSPPD</t>
  </si>
  <si>
    <t xml:space="preserve"> Servicios      IT 3%</t>
  </si>
  <si>
    <t xml:space="preserve"> Bienes      IT 3%</t>
  </si>
  <si>
    <t>Intereses Depósitos RC-IVA 13%</t>
  </si>
  <si>
    <t>Viáticos Retenc   RC IVA 13%</t>
  </si>
  <si>
    <t>Alquileres Intereses RC IVA 13%</t>
  </si>
  <si>
    <t>Bienes</t>
  </si>
  <si>
    <t>Viáticos</t>
  </si>
  <si>
    <t>Intereses Depósitos</t>
  </si>
  <si>
    <t>Form 570</t>
  </si>
  <si>
    <t>Form 410</t>
  </si>
  <si>
    <t>Form 604</t>
  </si>
  <si>
    <t>TOTAL A PAGAR POR RETENCIONES</t>
  </si>
  <si>
    <t>IUE Ret por pagar</t>
  </si>
  <si>
    <t>IT Ret por pagar</t>
  </si>
  <si>
    <t>RC-IVA Ret por pagar</t>
  </si>
  <si>
    <t>Total Retenciones=</t>
  </si>
  <si>
    <t>Viáticos 3%</t>
  </si>
  <si>
    <t>Servicios RC IVA 13%</t>
  </si>
  <si>
    <t>Alquileres Intereses IT 3%</t>
  </si>
  <si>
    <t>Alquileres e Intereses</t>
  </si>
  <si>
    <t>MES:</t>
  </si>
  <si>
    <t>Empresa ABC SRL</t>
  </si>
  <si>
    <t>Proyecto, área</t>
  </si>
  <si>
    <t>Año: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</si>
</sst>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b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4" fillId="0" borderId="0" xfId="0" applyFont="1" applyBorder="1"/>
    <xf numFmtId="1" fontId="4" fillId="0" borderId="0" xfId="1" applyNumberFormat="1" applyFont="1" applyBorder="1"/>
    <xf numFmtId="0" fontId="0" fillId="0" borderId="0" xfId="0" applyFill="1" applyBorder="1"/>
    <xf numFmtId="0" fontId="0" fillId="0" borderId="0" xfId="0" applyFont="1" applyFill="1" applyBorder="1"/>
    <xf numFmtId="164" fontId="0" fillId="0" borderId="0" xfId="1" applyFont="1" applyFill="1" applyBorder="1"/>
    <xf numFmtId="165" fontId="2" fillId="3" borderId="1" xfId="0" applyNumberFormat="1" applyFont="1" applyFill="1" applyBorder="1" applyAlignment="1">
      <alignment horizontal="center" vertical="top" wrapText="1"/>
    </xf>
    <xf numFmtId="165" fontId="1" fillId="3" borderId="2" xfId="0" applyNumberFormat="1" applyFont="1" applyFill="1" applyBorder="1" applyAlignment="1">
      <alignment horizontal="center" vertical="top" wrapText="1"/>
    </xf>
    <xf numFmtId="16" fontId="0" fillId="0" borderId="3" xfId="0" applyNumberFormat="1" applyFill="1" applyBorder="1"/>
    <xf numFmtId="16" fontId="0" fillId="0" borderId="5" xfId="0" applyNumberFormat="1" applyFill="1" applyBorder="1"/>
    <xf numFmtId="0" fontId="0" fillId="0" borderId="6" xfId="0" applyFill="1" applyBorder="1"/>
    <xf numFmtId="0" fontId="0" fillId="0" borderId="6" xfId="0" applyFont="1" applyFill="1" applyBorder="1"/>
    <xf numFmtId="164" fontId="0" fillId="0" borderId="6" xfId="1" applyFont="1" applyFill="1" applyBorder="1"/>
    <xf numFmtId="164" fontId="0" fillId="4" borderId="0" xfId="1" applyFont="1" applyFill="1" applyBorder="1"/>
    <xf numFmtId="1" fontId="4" fillId="0" borderId="0" xfId="0" applyNumberFormat="1" applyFont="1"/>
    <xf numFmtId="164" fontId="0" fillId="0" borderId="0" xfId="0" applyNumberFormat="1" applyFont="1" applyBorder="1"/>
    <xf numFmtId="165" fontId="1" fillId="2" borderId="8" xfId="0" applyNumberFormat="1" applyFont="1" applyFill="1" applyBorder="1" applyAlignment="1">
      <alignment horizontal="center" vertical="top" wrapText="1"/>
    </xf>
    <xf numFmtId="165" fontId="1" fillId="2" borderId="9" xfId="0" applyNumberFormat="1" applyFont="1" applyFill="1" applyBorder="1" applyAlignment="1">
      <alignment horizontal="center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164" fontId="0" fillId="4" borderId="3" xfId="1" applyFont="1" applyFill="1" applyBorder="1"/>
    <xf numFmtId="164" fontId="0" fillId="4" borderId="4" xfId="1" applyFont="1" applyFill="1" applyBorder="1"/>
    <xf numFmtId="164" fontId="0" fillId="0" borderId="5" xfId="0" applyNumberFormat="1" applyFont="1" applyBorder="1"/>
    <xf numFmtId="164" fontId="0" fillId="0" borderId="6" xfId="0" applyNumberFormat="1" applyFont="1" applyBorder="1"/>
    <xf numFmtId="164" fontId="0" fillId="0" borderId="7" xfId="0" applyNumberFormat="1" applyFont="1" applyBorder="1"/>
    <xf numFmtId="0" fontId="4" fillId="0" borderId="0" xfId="0" applyFont="1"/>
    <xf numFmtId="1" fontId="4" fillId="5" borderId="0" xfId="0" applyNumberFormat="1" applyFont="1" applyFill="1"/>
    <xf numFmtId="164" fontId="7" fillId="0" borderId="6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</dxf>
    <dxf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auto="1"/>
        </top>
        <bottom style="medium">
          <color auto="1"/>
        </bottom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auto="1"/>
        </top>
        <bottom style="medium">
          <color auto="1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border outline="0">
        <right style="thin">
          <color rgb="FFFFFFFF"/>
        </right>
      </border>
    </dxf>
    <dxf>
      <fill>
        <patternFill patternType="none">
          <fgColor rgb="FF000000"/>
          <bgColor auto="1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&quot;$b&quot;\ #,##0.00"/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a22456" displayName="Tabla22456" ref="A7:S20" totalsRowCount="1" headerRowDxfId="41" dataDxfId="39" headerRowBorderDxfId="40" tableBorderDxfId="38">
  <autoFilter ref="A7:S19"/>
  <tableColumns count="19">
    <tableColumn id="17" name="Fecha" dataDxfId="37" totalsRowDxfId="18"/>
    <tableColumn id="1" name="Concepto" dataDxfId="36" totalsRowDxfId="17"/>
    <tableColumn id="2" name="Proyecto, área" dataDxfId="35" totalsRowDxfId="16"/>
    <tableColumn id="3" name="Nº Recibo" dataDxfId="34" totalsRowDxfId="15"/>
    <tableColumn id="13" name="SERVICIOS" totalsRowFunction="sum" dataDxfId="33" totalsRowDxfId="14" dataCellStyle="Millares"/>
    <tableColumn id="4" name="BIENES" totalsRowFunction="sum" dataDxfId="32" totalsRowDxfId="13" dataCellStyle="Millares"/>
    <tableColumn id="15" name="VIÁTICOS" totalsRowFunction="sum" dataDxfId="31" totalsRowDxfId="12" dataCellStyle="Millares"/>
    <tableColumn id="8" name="ALQUILERES INTERESES" totalsRowFunction="custom" dataDxfId="30" totalsRowDxfId="11" dataCellStyle="Millares">
      <totalsRowFormula>SUBTOTAL(109,Tabla22456[INTERESES DEPÓSITOS])</totalsRowFormula>
    </tableColumn>
    <tableColumn id="16" name="INTERESES DEPÓSITOS" totalsRowFunction="sum" dataDxfId="29" totalsRowDxfId="10" dataCellStyle="Millares"/>
    <tableColumn id="14" name="PAGO EN EFECTIVO" totalsRowFunction="sum" dataDxfId="28" totalsRowDxfId="9" dataCellStyle="Millares">
      <calculatedColumnFormula>+Tabla22456[[#This Row],[SERVICIOS]]+Tabla22456[[#This Row],[BIENES]]+Tabla22456[[#This Row],[VIÁTICOS]]+Tabla22456[[#This Row],[ALQUILERES INTERESES]]+Tabla22456[[#This Row],[INTERESES DEPÓSITOS]]</calculatedColumnFormula>
    </tableColumn>
    <tableColumn id="7" name="Bienes IUE 5%" totalsRowFunction="sum" dataDxfId="27" totalsRowDxfId="8" dataCellStyle="Millares">
      <calculatedColumnFormula>+Tabla22456[[#This Row],[BIENES]]*0.05</calculatedColumnFormula>
    </tableColumn>
    <tableColumn id="6" name=" Servicios      IT 3%" totalsRowFunction="sum" dataDxfId="26" totalsRowDxfId="7" dataCellStyle="Millares">
      <calculatedColumnFormula>+Tabla22456[[#This Row],[SERVICIOS]]*0.03</calculatedColumnFormula>
    </tableColumn>
    <tableColumn id="18" name=" Bienes      IT 3%" totalsRowFunction="sum" dataDxfId="25" totalsRowDxfId="6" dataCellStyle="Millares">
      <calculatedColumnFormula>+Tabla22456[[#This Row],[BIENES]]*0.03</calculatedColumnFormula>
    </tableColumn>
    <tableColumn id="20" name="Viáticos 3%" totalsRowFunction="sum" dataDxfId="24" totalsRowDxfId="5" dataCellStyle="Millares">
      <calculatedColumnFormula>+Tabla22456[[#This Row],[VIÁTICOS]]*0.03</calculatedColumnFormula>
    </tableColumn>
    <tableColumn id="11" name="Alquileres Intereses IT 3%" totalsRowFunction="sum" dataDxfId="23" totalsRowDxfId="4" dataCellStyle="Millares">
      <calculatedColumnFormula>+Tabla22456[ALQUILERES INTERESES]*0.03</calculatedColumnFormula>
    </tableColumn>
    <tableColumn id="21" name="Servicios RC IVA 13%" totalsRowFunction="sum" dataDxfId="22" totalsRowDxfId="3" dataCellStyle="Millares">
      <calculatedColumnFormula>Tabla22456[[#This Row],[SERVICIOS]]*0.13</calculatedColumnFormula>
    </tableColumn>
    <tableColumn id="9" name="Viáticos Retenc   RC IVA 13%" totalsRowFunction="sum" dataDxfId="21" totalsRowDxfId="2" dataCellStyle="Millares">
      <calculatedColumnFormula>+Tabla22456[[#This Row],[VIÁTICOS]]*0.13</calculatedColumnFormula>
    </tableColumn>
    <tableColumn id="19" name="Alquileres Intereses RC IVA 13%" totalsRowFunction="sum" dataDxfId="20" totalsRowDxfId="1" dataCellStyle="Millares">
      <calculatedColumnFormula>+Tabla22456[ALQUILERES INTERESES]*0.13</calculatedColumnFormula>
    </tableColumn>
    <tableColumn id="10" name="Intereses Depósitos RC-IVA 13%" totalsRowFunction="sum" dataDxfId="19" totalsRowDxfId="0" dataCellStyle="Millares">
      <calculatedColumnFormula>+Tabla22456[[#This Row],[INTERESES DEPÓSITOS]]*0.13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4"/>
  <sheetViews>
    <sheetView tabSelected="1" zoomScale="70" zoomScaleNormal="70" workbookViewId="0">
      <selection activeCell="R22" sqref="R22"/>
    </sheetView>
  </sheetViews>
  <sheetFormatPr baseColWidth="10" defaultRowHeight="14.4" x14ac:dyDescent="0.3"/>
  <cols>
    <col min="1" max="1" width="13.44140625" customWidth="1"/>
    <col min="2" max="2" width="20.88671875" customWidth="1"/>
    <col min="3" max="3" width="9" customWidth="1"/>
    <col min="4" max="4" width="13.109375" customWidth="1"/>
    <col min="5" max="5" width="11.6640625" customWidth="1"/>
    <col min="6" max="6" width="11.5546875" customWidth="1"/>
    <col min="7" max="8" width="11.6640625" customWidth="1"/>
    <col min="9" max="9" width="11.88671875" customWidth="1"/>
    <col min="10" max="10" width="12.6640625" customWidth="1"/>
    <col min="11" max="11" width="8.88671875" customWidth="1"/>
    <col min="12" max="12" width="11.109375" customWidth="1"/>
    <col min="13" max="15" width="9.6640625" customWidth="1"/>
    <col min="16" max="17" width="9.88671875" customWidth="1"/>
    <col min="18" max="18" width="12.44140625" customWidth="1"/>
    <col min="19" max="26" width="12" customWidth="1"/>
    <col min="27" max="116" width="13" customWidth="1"/>
    <col min="117" max="1016" width="14" customWidth="1"/>
    <col min="1017" max="10016" width="15" customWidth="1"/>
    <col min="10017" max="16384" width="16" customWidth="1"/>
  </cols>
  <sheetData>
    <row r="1" spans="1:19" s="1" customFormat="1" x14ac:dyDescent="0.3">
      <c r="C1" s="2"/>
      <c r="R1" s="1" t="s">
        <v>44</v>
      </c>
    </row>
    <row r="2" spans="1:19" s="1" customFormat="1" x14ac:dyDescent="0.3">
      <c r="A2" s="1" t="s">
        <v>42</v>
      </c>
      <c r="C2" s="3" t="s">
        <v>11</v>
      </c>
    </row>
    <row r="3" spans="1:19" s="1" customFormat="1" ht="46.2" x14ac:dyDescent="0.85">
      <c r="A3" s="28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9" s="1" customFormat="1" ht="15.6" x14ac:dyDescent="0.3">
      <c r="A4" s="29" t="s">
        <v>41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9" s="1" customFormat="1" x14ac:dyDescent="0.3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9" s="1" customFormat="1" ht="15" thickBot="1" x14ac:dyDescent="0.35">
      <c r="A6" s="1" t="s">
        <v>17</v>
      </c>
    </row>
    <row r="7" spans="1:19" s="1" customFormat="1" ht="74.25" customHeight="1" thickBot="1" x14ac:dyDescent="0.35">
      <c r="A7" s="7" t="s">
        <v>8</v>
      </c>
      <c r="B7" s="8" t="s">
        <v>1</v>
      </c>
      <c r="C7" s="8" t="s">
        <v>43</v>
      </c>
      <c r="D7" s="8" t="s">
        <v>0</v>
      </c>
      <c r="E7" s="8" t="s">
        <v>4</v>
      </c>
      <c r="F7" s="8" t="s">
        <v>5</v>
      </c>
      <c r="G7" s="8" t="s">
        <v>6</v>
      </c>
      <c r="H7" s="8" t="s">
        <v>19</v>
      </c>
      <c r="I7" s="8" t="s">
        <v>18</v>
      </c>
      <c r="J7" s="17" t="s">
        <v>7</v>
      </c>
      <c r="K7" s="18" t="s">
        <v>2</v>
      </c>
      <c r="L7" s="18" t="s">
        <v>21</v>
      </c>
      <c r="M7" s="18" t="s">
        <v>22</v>
      </c>
      <c r="N7" s="18" t="s">
        <v>37</v>
      </c>
      <c r="O7" s="18" t="s">
        <v>39</v>
      </c>
      <c r="P7" s="18" t="s">
        <v>38</v>
      </c>
      <c r="Q7" s="18" t="s">
        <v>24</v>
      </c>
      <c r="R7" s="18" t="s">
        <v>25</v>
      </c>
      <c r="S7" s="19" t="s">
        <v>23</v>
      </c>
    </row>
    <row r="8" spans="1:19" s="1" customFormat="1" x14ac:dyDescent="0.3">
      <c r="A8" s="9">
        <v>41319</v>
      </c>
      <c r="B8" s="4" t="s">
        <v>12</v>
      </c>
      <c r="C8" s="4">
        <v>1</v>
      </c>
      <c r="D8" s="4">
        <v>55263</v>
      </c>
      <c r="E8" s="6">
        <v>200</v>
      </c>
      <c r="F8" s="6">
        <v>0</v>
      </c>
      <c r="G8" s="6">
        <v>0</v>
      </c>
      <c r="H8" s="6">
        <v>0</v>
      </c>
      <c r="I8" s="6">
        <v>0</v>
      </c>
      <c r="J8" s="20">
        <f>+Tabla22456[[#This Row],[SERVICIOS]]+Tabla22456[[#This Row],[BIENES]]+Tabla22456[[#This Row],[VIÁTICOS]]+Tabla22456[[#This Row],[ALQUILERES INTERESES]]+Tabla22456[[#This Row],[INTERESES DEPÓSITOS]]</f>
        <v>200</v>
      </c>
      <c r="K8" s="14">
        <f>+Tabla22456[[#This Row],[BIENES]]*0.05</f>
        <v>0</v>
      </c>
      <c r="L8" s="14">
        <f>+Tabla22456[[#This Row],[SERVICIOS]]*0.03</f>
        <v>6</v>
      </c>
      <c r="M8" s="14">
        <f>+Tabla22456[[#This Row],[BIENES]]*0.03</f>
        <v>0</v>
      </c>
      <c r="N8" s="14">
        <f>+Tabla22456[[#This Row],[VIÁTICOS]]*0.03</f>
        <v>0</v>
      </c>
      <c r="O8" s="14">
        <f>+Tabla22456[ALQUILERES INTERESES]*0.03</f>
        <v>0</v>
      </c>
      <c r="P8" s="14">
        <f>Tabla22456[[#This Row],[SERVICIOS]]*0.13</f>
        <v>26</v>
      </c>
      <c r="Q8" s="14">
        <f>+Tabla22456[[#This Row],[VIÁTICOS]]*0.13</f>
        <v>0</v>
      </c>
      <c r="R8" s="14">
        <f>+Tabla22456[ALQUILERES INTERESES]*0.13</f>
        <v>0</v>
      </c>
      <c r="S8" s="21">
        <f>+Tabla22456[[#This Row],[INTERESES DEPÓSITOS]]*0.13</f>
        <v>0</v>
      </c>
    </row>
    <row r="9" spans="1:19" s="1" customFormat="1" x14ac:dyDescent="0.3">
      <c r="A9" s="9">
        <v>41316</v>
      </c>
      <c r="B9" s="4" t="s">
        <v>13</v>
      </c>
      <c r="C9" s="5">
        <v>1</v>
      </c>
      <c r="D9" s="4">
        <v>16678</v>
      </c>
      <c r="E9" s="6">
        <v>40</v>
      </c>
      <c r="F9" s="6"/>
      <c r="G9" s="6"/>
      <c r="H9" s="6"/>
      <c r="I9" s="6"/>
      <c r="J9" s="20">
        <f>+Tabla22456[[#This Row],[SERVICIOS]]+Tabla22456[[#This Row],[BIENES]]+Tabla22456[[#This Row],[VIÁTICOS]]+Tabla22456[[#This Row],[ALQUILERES INTERESES]]+Tabla22456[[#This Row],[INTERESES DEPÓSITOS]]</f>
        <v>40</v>
      </c>
      <c r="K9" s="14">
        <f>+Tabla22456[[#This Row],[BIENES]]*0.05</f>
        <v>0</v>
      </c>
      <c r="L9" s="14">
        <f>+Tabla22456[[#This Row],[SERVICIOS]]*0.03</f>
        <v>1.2</v>
      </c>
      <c r="M9" s="14">
        <f>+Tabla22456[[#This Row],[BIENES]]*0.03</f>
        <v>0</v>
      </c>
      <c r="N9" s="14">
        <f>+Tabla22456[[#This Row],[VIÁTICOS]]*0.03</f>
        <v>0</v>
      </c>
      <c r="O9" s="14">
        <f>+Tabla22456[ALQUILERES INTERESES]*0.03</f>
        <v>0</v>
      </c>
      <c r="P9" s="14">
        <f>Tabla22456[[#This Row],[SERVICIOS]]*0.13</f>
        <v>5.2</v>
      </c>
      <c r="Q9" s="14">
        <f>+Tabla22456[[#This Row],[VIÁTICOS]]*0.13</f>
        <v>0</v>
      </c>
      <c r="R9" s="14">
        <f>+Tabla22456[ALQUILERES INTERESES]*0.13</f>
        <v>0</v>
      </c>
      <c r="S9" s="21">
        <f>+Tabla22456[[#This Row],[INTERESES DEPÓSITOS]]*0.13</f>
        <v>0</v>
      </c>
    </row>
    <row r="10" spans="1:19" s="1" customFormat="1" x14ac:dyDescent="0.3">
      <c r="A10" s="9">
        <v>41320</v>
      </c>
      <c r="B10" s="4" t="s">
        <v>14</v>
      </c>
      <c r="C10" s="5">
        <v>5</v>
      </c>
      <c r="D10" s="4">
        <v>784</v>
      </c>
      <c r="E10" s="6"/>
      <c r="F10" s="6">
        <v>450</v>
      </c>
      <c r="G10" s="6"/>
      <c r="H10" s="6"/>
      <c r="I10" s="6"/>
      <c r="J10" s="20">
        <f>+Tabla22456[[#This Row],[SERVICIOS]]+Tabla22456[[#This Row],[BIENES]]+Tabla22456[[#This Row],[VIÁTICOS]]+Tabla22456[[#This Row],[ALQUILERES INTERESES]]+Tabla22456[[#This Row],[INTERESES DEPÓSITOS]]</f>
        <v>450</v>
      </c>
      <c r="K10" s="14">
        <f>+Tabla22456[[#This Row],[BIENES]]*0.05</f>
        <v>22.5</v>
      </c>
      <c r="L10" s="14">
        <f>+Tabla22456[[#This Row],[SERVICIOS]]*0.03</f>
        <v>0</v>
      </c>
      <c r="M10" s="14">
        <f>+Tabla22456[[#This Row],[BIENES]]*0.03</f>
        <v>13.5</v>
      </c>
      <c r="N10" s="14">
        <f>+Tabla22456[[#This Row],[VIÁTICOS]]*0.03</f>
        <v>0</v>
      </c>
      <c r="O10" s="14">
        <f>+Tabla22456[ALQUILERES INTERESES]*0.03</f>
        <v>0</v>
      </c>
      <c r="P10" s="14">
        <f>Tabla22456[[#This Row],[SERVICIOS]]*0.13</f>
        <v>0</v>
      </c>
      <c r="Q10" s="14">
        <f>+Tabla22456[[#This Row],[VIÁTICOS]]*0.13</f>
        <v>0</v>
      </c>
      <c r="R10" s="14">
        <f>+Tabla22456[ALQUILERES INTERESES]*0.13</f>
        <v>0</v>
      </c>
      <c r="S10" s="21">
        <f>+Tabla22456[[#This Row],[INTERESES DEPÓSITOS]]*0.13</f>
        <v>0</v>
      </c>
    </row>
    <row r="11" spans="1:19" s="1" customFormat="1" x14ac:dyDescent="0.3">
      <c r="A11" s="9">
        <v>41320</v>
      </c>
      <c r="B11" s="4" t="s">
        <v>15</v>
      </c>
      <c r="C11" s="5">
        <v>5</v>
      </c>
      <c r="D11" s="4">
        <v>785</v>
      </c>
      <c r="E11" s="6"/>
      <c r="F11" s="6"/>
      <c r="G11" s="6">
        <v>300</v>
      </c>
      <c r="H11" s="6"/>
      <c r="I11" s="6"/>
      <c r="J11" s="20">
        <f>+Tabla22456[[#This Row],[SERVICIOS]]+Tabla22456[[#This Row],[BIENES]]+Tabla22456[[#This Row],[VIÁTICOS]]+Tabla22456[[#This Row],[ALQUILERES INTERESES]]+Tabla22456[[#This Row],[INTERESES DEPÓSITOS]]</f>
        <v>300</v>
      </c>
      <c r="K11" s="14">
        <f>+Tabla22456[[#This Row],[BIENES]]*0.05</f>
        <v>0</v>
      </c>
      <c r="L11" s="14">
        <f>+Tabla22456[[#This Row],[SERVICIOS]]*0.03</f>
        <v>0</v>
      </c>
      <c r="M11" s="14">
        <f>+Tabla22456[[#This Row],[BIENES]]*0.03</f>
        <v>0</v>
      </c>
      <c r="N11" s="14">
        <f>+Tabla22456[[#This Row],[VIÁTICOS]]*0.03</f>
        <v>9</v>
      </c>
      <c r="O11" s="14">
        <f>+Tabla22456[ALQUILERES INTERESES]*0.03</f>
        <v>0</v>
      </c>
      <c r="P11" s="14">
        <f>Tabla22456[[#This Row],[SERVICIOS]]*0.13</f>
        <v>0</v>
      </c>
      <c r="Q11" s="14">
        <f>+Tabla22456[[#This Row],[VIÁTICOS]]*0.13</f>
        <v>39</v>
      </c>
      <c r="R11" s="14">
        <f>+Tabla22456[ALQUILERES INTERESES]*0.13</f>
        <v>0</v>
      </c>
      <c r="S11" s="21">
        <f>+Tabla22456[[#This Row],[INTERESES DEPÓSITOS]]*0.13</f>
        <v>0</v>
      </c>
    </row>
    <row r="12" spans="1:19" s="1" customFormat="1" x14ac:dyDescent="0.3">
      <c r="A12" s="9">
        <v>41321</v>
      </c>
      <c r="B12" s="4" t="s">
        <v>16</v>
      </c>
      <c r="C12" s="5">
        <v>1</v>
      </c>
      <c r="D12" s="4">
        <v>783</v>
      </c>
      <c r="E12" s="6"/>
      <c r="F12" s="6"/>
      <c r="G12" s="6"/>
      <c r="H12" s="6">
        <v>1800</v>
      </c>
      <c r="I12" s="6"/>
      <c r="J12" s="20">
        <f>+Tabla22456[[#This Row],[SERVICIOS]]+Tabla22456[[#This Row],[BIENES]]+Tabla22456[[#This Row],[VIÁTICOS]]+Tabla22456[[#This Row],[ALQUILERES INTERESES]]+Tabla22456[[#This Row],[INTERESES DEPÓSITOS]]</f>
        <v>1800</v>
      </c>
      <c r="K12" s="14">
        <f>+Tabla22456[[#This Row],[BIENES]]*0.05</f>
        <v>0</v>
      </c>
      <c r="L12" s="14">
        <f>+Tabla22456[[#This Row],[SERVICIOS]]*0.03</f>
        <v>0</v>
      </c>
      <c r="M12" s="14">
        <f>+Tabla22456[[#This Row],[BIENES]]*0.03</f>
        <v>0</v>
      </c>
      <c r="N12" s="14">
        <f>+Tabla22456[[#This Row],[VIÁTICOS]]*0.03</f>
        <v>0</v>
      </c>
      <c r="O12" s="14">
        <f>+Tabla22456[ALQUILERES INTERESES]*0.03</f>
        <v>54</v>
      </c>
      <c r="P12" s="14">
        <f>Tabla22456[[#This Row],[SERVICIOS]]*0.13</f>
        <v>0</v>
      </c>
      <c r="Q12" s="14">
        <f>+Tabla22456[[#This Row],[VIÁTICOS]]*0.13</f>
        <v>0</v>
      </c>
      <c r="R12" s="14">
        <f>+Tabla22456[ALQUILERES INTERESES]*0.13</f>
        <v>234</v>
      </c>
      <c r="S12" s="21">
        <f>+Tabla22456[[#This Row],[INTERESES DEPÓSITOS]]*0.13</f>
        <v>0</v>
      </c>
    </row>
    <row r="13" spans="1:19" s="1" customFormat="1" x14ac:dyDescent="0.3">
      <c r="A13" s="9">
        <v>41322</v>
      </c>
      <c r="B13" s="4" t="s">
        <v>20</v>
      </c>
      <c r="C13" s="5">
        <v>1</v>
      </c>
      <c r="D13" s="4">
        <v>694</v>
      </c>
      <c r="E13" s="6"/>
      <c r="F13" s="6"/>
      <c r="G13" s="6"/>
      <c r="H13" s="6"/>
      <c r="I13" s="6">
        <v>600</v>
      </c>
      <c r="J13" s="20">
        <f>+Tabla22456[[#This Row],[SERVICIOS]]+Tabla22456[[#This Row],[BIENES]]+Tabla22456[[#This Row],[VIÁTICOS]]+Tabla22456[[#This Row],[ALQUILERES INTERESES]]+Tabla22456[[#This Row],[INTERESES DEPÓSITOS]]</f>
        <v>600</v>
      </c>
      <c r="K13" s="14">
        <f>+Tabla22456[[#This Row],[BIENES]]*0.05</f>
        <v>0</v>
      </c>
      <c r="L13" s="14">
        <f>+Tabla22456[[#This Row],[SERVICIOS]]*0.03</f>
        <v>0</v>
      </c>
      <c r="M13" s="14">
        <f>+Tabla22456[[#This Row],[BIENES]]*0.03</f>
        <v>0</v>
      </c>
      <c r="N13" s="14">
        <f>+Tabla22456[[#This Row],[VIÁTICOS]]*0.03</f>
        <v>0</v>
      </c>
      <c r="O13" s="14">
        <f>+Tabla22456[ALQUILERES INTERESES]*0.03</f>
        <v>0</v>
      </c>
      <c r="P13" s="14">
        <f>Tabla22456[[#This Row],[SERVICIOS]]*0.13</f>
        <v>0</v>
      </c>
      <c r="Q13" s="14">
        <f>+Tabla22456[[#This Row],[VIÁTICOS]]*0.13</f>
        <v>0</v>
      </c>
      <c r="R13" s="14">
        <f>+Tabla22456[ALQUILERES INTERESES]*0.13</f>
        <v>0</v>
      </c>
      <c r="S13" s="21">
        <f>+Tabla22456[[#This Row],[INTERESES DEPÓSITOS]]*0.13</f>
        <v>78</v>
      </c>
    </row>
    <row r="14" spans="1:19" s="1" customFormat="1" x14ac:dyDescent="0.3">
      <c r="A14" s="9"/>
      <c r="B14" s="4"/>
      <c r="C14" s="5"/>
      <c r="D14" s="4"/>
      <c r="E14" s="6"/>
      <c r="F14" s="6"/>
      <c r="G14" s="6"/>
      <c r="H14" s="6"/>
      <c r="I14" s="6"/>
      <c r="J14" s="20">
        <f>+Tabla22456[[#This Row],[SERVICIOS]]+Tabla22456[[#This Row],[BIENES]]+Tabla22456[[#This Row],[VIÁTICOS]]+Tabla22456[[#This Row],[ALQUILERES INTERESES]]+Tabla22456[[#This Row],[INTERESES DEPÓSITOS]]</f>
        <v>0</v>
      </c>
      <c r="K14" s="14">
        <f>+Tabla22456[[#This Row],[BIENES]]*0.05</f>
        <v>0</v>
      </c>
      <c r="L14" s="14">
        <f>+Tabla22456[[#This Row],[SERVICIOS]]*0.03</f>
        <v>0</v>
      </c>
      <c r="M14" s="14">
        <f>+Tabla22456[[#This Row],[BIENES]]*0.03</f>
        <v>0</v>
      </c>
      <c r="N14" s="14">
        <f>+Tabla22456[[#This Row],[VIÁTICOS]]*0.03</f>
        <v>0</v>
      </c>
      <c r="O14" s="14">
        <f>+Tabla22456[ALQUILERES INTERESES]*0.03</f>
        <v>0</v>
      </c>
      <c r="P14" s="14">
        <f>Tabla22456[[#This Row],[SERVICIOS]]*0.13</f>
        <v>0</v>
      </c>
      <c r="Q14" s="14">
        <f>+Tabla22456[[#This Row],[VIÁTICOS]]*0.13</f>
        <v>0</v>
      </c>
      <c r="R14" s="14">
        <f>+Tabla22456[ALQUILERES INTERESES]*0.13</f>
        <v>0</v>
      </c>
      <c r="S14" s="21">
        <f>+Tabla22456[[#This Row],[INTERESES DEPÓSITOS]]*0.13</f>
        <v>0</v>
      </c>
    </row>
    <row r="15" spans="1:19" s="1" customFormat="1" x14ac:dyDescent="0.3">
      <c r="A15" s="9"/>
      <c r="B15" s="4"/>
      <c r="C15" s="5"/>
      <c r="D15" s="4"/>
      <c r="E15" s="6"/>
      <c r="F15" s="6"/>
      <c r="G15" s="6"/>
      <c r="H15" s="6"/>
      <c r="I15" s="6"/>
      <c r="J15" s="20">
        <f>+Tabla22456[[#This Row],[SERVICIOS]]+Tabla22456[[#This Row],[BIENES]]+Tabla22456[[#This Row],[VIÁTICOS]]+Tabla22456[[#This Row],[ALQUILERES INTERESES]]+Tabla22456[[#This Row],[INTERESES DEPÓSITOS]]</f>
        <v>0</v>
      </c>
      <c r="K15" s="14">
        <f>+Tabla22456[[#This Row],[BIENES]]*0.05</f>
        <v>0</v>
      </c>
      <c r="L15" s="14">
        <f>+Tabla22456[[#This Row],[SERVICIOS]]*0.03</f>
        <v>0</v>
      </c>
      <c r="M15" s="14">
        <f>+Tabla22456[[#This Row],[BIENES]]*0.03</f>
        <v>0</v>
      </c>
      <c r="N15" s="14">
        <f>+Tabla22456[[#This Row],[VIÁTICOS]]*0.03</f>
        <v>0</v>
      </c>
      <c r="O15" s="14">
        <f>+Tabla22456[ALQUILERES INTERESES]*0.03</f>
        <v>0</v>
      </c>
      <c r="P15" s="14">
        <f>Tabla22456[[#This Row],[SERVICIOS]]*0.13</f>
        <v>0</v>
      </c>
      <c r="Q15" s="14">
        <f>+Tabla22456[[#This Row],[VIÁTICOS]]*0.13</f>
        <v>0</v>
      </c>
      <c r="R15" s="14">
        <f>+Tabla22456[ALQUILERES INTERESES]*0.13</f>
        <v>0</v>
      </c>
      <c r="S15" s="21">
        <f>+Tabla22456[[#This Row],[INTERESES DEPÓSITOS]]*0.13</f>
        <v>0</v>
      </c>
    </row>
    <row r="16" spans="1:19" s="1" customFormat="1" x14ac:dyDescent="0.3">
      <c r="A16" s="9"/>
      <c r="B16" s="4"/>
      <c r="C16" s="5"/>
      <c r="D16" s="4"/>
      <c r="E16" s="6"/>
      <c r="F16" s="6"/>
      <c r="G16" s="6"/>
      <c r="H16" s="6"/>
      <c r="I16" s="6"/>
      <c r="J16" s="20">
        <f>+Tabla22456[[#This Row],[SERVICIOS]]+Tabla22456[[#This Row],[BIENES]]+Tabla22456[[#This Row],[VIÁTICOS]]+Tabla22456[[#This Row],[ALQUILERES INTERESES]]+Tabla22456[[#This Row],[INTERESES DEPÓSITOS]]</f>
        <v>0</v>
      </c>
      <c r="K16" s="14">
        <f>+Tabla22456[[#This Row],[BIENES]]*0.05</f>
        <v>0</v>
      </c>
      <c r="L16" s="14">
        <f>+Tabla22456[[#This Row],[SERVICIOS]]*0.03</f>
        <v>0</v>
      </c>
      <c r="M16" s="14">
        <f>+Tabla22456[[#This Row],[BIENES]]*0.03</f>
        <v>0</v>
      </c>
      <c r="N16" s="14">
        <f>+Tabla22456[[#This Row],[VIÁTICOS]]*0.03</f>
        <v>0</v>
      </c>
      <c r="O16" s="14">
        <f>+Tabla22456[ALQUILERES INTERESES]*0.03</f>
        <v>0</v>
      </c>
      <c r="P16" s="14">
        <f>Tabla22456[[#This Row],[SERVICIOS]]*0.13</f>
        <v>0</v>
      </c>
      <c r="Q16" s="14">
        <f>+Tabla22456[[#This Row],[VIÁTICOS]]*0.13</f>
        <v>0</v>
      </c>
      <c r="R16" s="14">
        <f>+Tabla22456[ALQUILERES INTERESES]*0.13</f>
        <v>0</v>
      </c>
      <c r="S16" s="21">
        <f>+Tabla22456[[#This Row],[INTERESES DEPÓSITOS]]*0.13</f>
        <v>0</v>
      </c>
    </row>
    <row r="17" spans="1:19" s="1" customFormat="1" x14ac:dyDescent="0.3">
      <c r="A17" s="9"/>
      <c r="B17" s="4"/>
      <c r="C17" s="5"/>
      <c r="D17" s="4"/>
      <c r="E17" s="6"/>
      <c r="F17" s="6"/>
      <c r="G17" s="6"/>
      <c r="H17" s="6"/>
      <c r="I17" s="6"/>
      <c r="J17" s="20">
        <f>+Tabla22456[[#This Row],[SERVICIOS]]+Tabla22456[[#This Row],[BIENES]]+Tabla22456[[#This Row],[VIÁTICOS]]+Tabla22456[[#This Row],[ALQUILERES INTERESES]]+Tabla22456[[#This Row],[INTERESES DEPÓSITOS]]</f>
        <v>0</v>
      </c>
      <c r="K17" s="14">
        <f>+Tabla22456[[#This Row],[BIENES]]*0.05</f>
        <v>0</v>
      </c>
      <c r="L17" s="14">
        <f>+Tabla22456[[#This Row],[SERVICIOS]]*0.03</f>
        <v>0</v>
      </c>
      <c r="M17" s="14">
        <f>+Tabla22456[[#This Row],[BIENES]]*0.03</f>
        <v>0</v>
      </c>
      <c r="N17" s="14">
        <f>+Tabla22456[[#This Row],[VIÁTICOS]]*0.03</f>
        <v>0</v>
      </c>
      <c r="O17" s="14">
        <f>+Tabla22456[ALQUILERES INTERESES]*0.03</f>
        <v>0</v>
      </c>
      <c r="P17" s="14">
        <f>Tabla22456[[#This Row],[SERVICIOS]]*0.13</f>
        <v>0</v>
      </c>
      <c r="Q17" s="14">
        <f>+Tabla22456[[#This Row],[VIÁTICOS]]*0.13</f>
        <v>0</v>
      </c>
      <c r="R17" s="14">
        <f>+Tabla22456[ALQUILERES INTERESES]*0.13</f>
        <v>0</v>
      </c>
      <c r="S17" s="21">
        <f>+Tabla22456[[#This Row],[INTERESES DEPÓSITOS]]*0.13</f>
        <v>0</v>
      </c>
    </row>
    <row r="18" spans="1:19" s="1" customFormat="1" x14ac:dyDescent="0.3">
      <c r="A18" s="9"/>
      <c r="B18" s="4"/>
      <c r="C18" s="5"/>
      <c r="D18" s="4"/>
      <c r="E18" s="6"/>
      <c r="F18" s="6"/>
      <c r="G18" s="6"/>
      <c r="H18" s="6"/>
      <c r="I18" s="6"/>
      <c r="J18" s="20">
        <f>+Tabla22456[[#This Row],[SERVICIOS]]+Tabla22456[[#This Row],[BIENES]]+Tabla22456[[#This Row],[VIÁTICOS]]+Tabla22456[[#This Row],[ALQUILERES INTERESES]]+Tabla22456[[#This Row],[INTERESES DEPÓSITOS]]</f>
        <v>0</v>
      </c>
      <c r="K18" s="14">
        <f>+Tabla22456[[#This Row],[BIENES]]*0.05</f>
        <v>0</v>
      </c>
      <c r="L18" s="14">
        <f>+Tabla22456[[#This Row],[SERVICIOS]]*0.03</f>
        <v>0</v>
      </c>
      <c r="M18" s="14">
        <f>+Tabla22456[[#This Row],[BIENES]]*0.03</f>
        <v>0</v>
      </c>
      <c r="N18" s="14">
        <f>+Tabla22456[[#This Row],[VIÁTICOS]]*0.03</f>
        <v>0</v>
      </c>
      <c r="O18" s="14">
        <f>+Tabla22456[ALQUILERES INTERESES]*0.03</f>
        <v>0</v>
      </c>
      <c r="P18" s="14">
        <f>Tabla22456[[#This Row],[SERVICIOS]]*0.13</f>
        <v>0</v>
      </c>
      <c r="Q18" s="14">
        <f>+Tabla22456[[#This Row],[VIÁTICOS]]*0.13</f>
        <v>0</v>
      </c>
      <c r="R18" s="14">
        <f>+Tabla22456[ALQUILERES INTERESES]*0.13</f>
        <v>0</v>
      </c>
      <c r="S18" s="21">
        <f>+Tabla22456[[#This Row],[INTERESES DEPÓSITOS]]*0.13</f>
        <v>0</v>
      </c>
    </row>
    <row r="19" spans="1:19" s="1" customFormat="1" ht="15" thickBot="1" x14ac:dyDescent="0.35">
      <c r="A19" s="10"/>
      <c r="B19" s="11"/>
      <c r="C19" s="12"/>
      <c r="D19" s="11"/>
      <c r="E19" s="13"/>
      <c r="F19" s="13"/>
      <c r="G19" s="13"/>
      <c r="H19" s="13"/>
      <c r="I19" s="13"/>
      <c r="J19" s="20">
        <f>+Tabla22456[[#This Row],[SERVICIOS]]+Tabla22456[[#This Row],[BIENES]]+Tabla22456[[#This Row],[VIÁTICOS]]+Tabla22456[[#This Row],[ALQUILERES INTERESES]]+Tabla22456[[#This Row],[INTERESES DEPÓSITOS]]</f>
        <v>0</v>
      </c>
      <c r="K19" s="14">
        <f>+Tabla22456[[#This Row],[BIENES]]*0.05</f>
        <v>0</v>
      </c>
      <c r="L19" s="14">
        <f>+Tabla22456[[#This Row],[SERVICIOS]]*0.03</f>
        <v>0</v>
      </c>
      <c r="M19" s="14">
        <f>+Tabla22456[[#This Row],[BIENES]]*0.03</f>
        <v>0</v>
      </c>
      <c r="N19" s="14">
        <f>+Tabla22456[[#This Row],[VIÁTICOS]]*0.03</f>
        <v>0</v>
      </c>
      <c r="O19" s="14">
        <f>+Tabla22456[ALQUILERES INTERESES]*0.03</f>
        <v>0</v>
      </c>
      <c r="P19" s="14">
        <f>Tabla22456[[#This Row],[SERVICIOS]]*0.13</f>
        <v>0</v>
      </c>
      <c r="Q19" s="14">
        <f>+Tabla22456[[#This Row],[VIÁTICOS]]*0.13</f>
        <v>0</v>
      </c>
      <c r="R19" s="14">
        <f>+Tabla22456[ALQUILERES INTERESES]*0.13</f>
        <v>0</v>
      </c>
      <c r="S19" s="21">
        <f>+Tabla22456[[#This Row],[INTERESES DEPÓSITOS]]*0.13</f>
        <v>0</v>
      </c>
    </row>
    <row r="20" spans="1:19" s="1" customFormat="1" ht="15" thickBot="1" x14ac:dyDescent="0.35">
      <c r="E20" s="16">
        <f>SUBTOTAL(109,Tabla22456[SERVICIOS])</f>
        <v>240</v>
      </c>
      <c r="F20" s="16">
        <f>SUBTOTAL(109,Tabla22456[BIENES])</f>
        <v>450</v>
      </c>
      <c r="G20" s="16">
        <f>SUBTOTAL(109,Tabla22456[VIÁTICOS])</f>
        <v>300</v>
      </c>
      <c r="H20" s="16">
        <f>SUBTOTAL(109,Tabla22456[INTERESES DEPÓSITOS])</f>
        <v>600</v>
      </c>
      <c r="I20" s="16">
        <f>SUBTOTAL(109,Tabla22456[INTERESES DEPÓSITOS])</f>
        <v>600</v>
      </c>
      <c r="J20" s="22">
        <f>SUBTOTAL(109,Tabla22456[PAGO EN EFECTIVO])</f>
        <v>3390</v>
      </c>
      <c r="K20" s="23">
        <f>SUBTOTAL(109,Tabla22456[Bienes IUE 5%])</f>
        <v>22.5</v>
      </c>
      <c r="L20" s="27">
        <f>SUBTOTAL(109,Tabla22456[ Servicios      IT 3%])</f>
        <v>7.2</v>
      </c>
      <c r="M20" s="27">
        <f>SUBTOTAL(109,Tabla22456[ Bienes      IT 3%])</f>
        <v>13.5</v>
      </c>
      <c r="N20" s="23">
        <f>SUBTOTAL(109,Tabla22456[Viáticos 3%])</f>
        <v>9</v>
      </c>
      <c r="O20" s="23">
        <f>SUBTOTAL(109,Tabla22456[Alquileres Intereses IT 3%])</f>
        <v>54</v>
      </c>
      <c r="P20" s="23">
        <f>SUBTOTAL(109,Tabla22456[Servicios RC IVA 13%])</f>
        <v>31.2</v>
      </c>
      <c r="Q20" s="23">
        <f>SUBTOTAL(109,Tabla22456[Viáticos Retenc   RC IVA 13%])</f>
        <v>39</v>
      </c>
      <c r="R20" s="23">
        <f>SUBTOTAL(109,Tabla22456[Alquileres Intereses RC IVA 13%])</f>
        <v>234</v>
      </c>
      <c r="S20" s="24">
        <f>SUBTOTAL(109,Tabla22456[Intereses Depósitos RC-IVA 13%])</f>
        <v>78</v>
      </c>
    </row>
    <row r="21" spans="1:19" s="1" customFormat="1" x14ac:dyDescent="0.3"/>
    <row r="22" spans="1:19" x14ac:dyDescent="0.3">
      <c r="F22" s="31" t="s">
        <v>32</v>
      </c>
      <c r="G22" s="31"/>
      <c r="H22" s="31"/>
      <c r="I22" s="31"/>
    </row>
    <row r="23" spans="1:19" x14ac:dyDescent="0.3">
      <c r="B23" t="s">
        <v>26</v>
      </c>
      <c r="C23" s="15">
        <f>+Tabla22456[[#Totals],[Bienes IUE 5%]]</f>
        <v>22.5</v>
      </c>
      <c r="D23" t="s">
        <v>29</v>
      </c>
    </row>
    <row r="24" spans="1:19" x14ac:dyDescent="0.3">
      <c r="F24" t="s">
        <v>33</v>
      </c>
      <c r="H24" s="26">
        <f>+C23</f>
        <v>22.5</v>
      </c>
      <c r="I24" t="s">
        <v>29</v>
      </c>
    </row>
    <row r="25" spans="1:19" x14ac:dyDescent="0.3">
      <c r="B25" t="s">
        <v>3</v>
      </c>
      <c r="C25" s="15">
        <f>+Tabla22456[[#Totals],[ Servicios      IT 3%]]</f>
        <v>7.2</v>
      </c>
      <c r="D25" t="s">
        <v>30</v>
      </c>
      <c r="H25" s="25"/>
    </row>
    <row r="26" spans="1:19" x14ac:dyDescent="0.3">
      <c r="C26" s="15">
        <f>+Tabla22456[[#Totals],[Servicios RC IVA 13%]]</f>
        <v>31.2</v>
      </c>
      <c r="D26" t="s">
        <v>31</v>
      </c>
      <c r="F26" t="s">
        <v>34</v>
      </c>
      <c r="H26" s="26">
        <f>+C25+C28+C31</f>
        <v>70.2</v>
      </c>
      <c r="I26" t="s">
        <v>30</v>
      </c>
    </row>
    <row r="27" spans="1:19" x14ac:dyDescent="0.3">
      <c r="H27" s="25"/>
    </row>
    <row r="28" spans="1:19" x14ac:dyDescent="0.3">
      <c r="B28" t="s">
        <v>27</v>
      </c>
      <c r="C28" s="25">
        <f>+Tabla22456[[#Totals],[Viáticos 3%]]</f>
        <v>9</v>
      </c>
      <c r="D28" t="s">
        <v>30</v>
      </c>
      <c r="F28" t="s">
        <v>35</v>
      </c>
      <c r="H28" s="26">
        <f>+C26+C29+C32+C34</f>
        <v>382.2</v>
      </c>
      <c r="I28" t="s">
        <v>31</v>
      </c>
    </row>
    <row r="29" spans="1:19" x14ac:dyDescent="0.3">
      <c r="C29" s="25">
        <f>+Tabla22456[[#Totals],[Viáticos Retenc   RC IVA 13%]]</f>
        <v>39</v>
      </c>
      <c r="D29" t="s">
        <v>31</v>
      </c>
      <c r="H29" s="25"/>
    </row>
    <row r="30" spans="1:19" x14ac:dyDescent="0.3">
      <c r="F30" s="31" t="s">
        <v>36</v>
      </c>
      <c r="G30" s="31"/>
      <c r="H30" s="26">
        <f>+H24+H26+H28</f>
        <v>474.9</v>
      </c>
    </row>
    <row r="31" spans="1:19" x14ac:dyDescent="0.3">
      <c r="B31" t="s">
        <v>40</v>
      </c>
      <c r="C31" s="25">
        <f>+Tabla22456[[#Totals],[Alquileres Intereses IT 3%]]</f>
        <v>54</v>
      </c>
      <c r="D31" t="s">
        <v>30</v>
      </c>
    </row>
    <row r="32" spans="1:19" x14ac:dyDescent="0.3">
      <c r="C32" s="25">
        <f>+Tabla22456[[#Totals],[Alquileres Intereses RC IVA 13%]]</f>
        <v>234</v>
      </c>
      <c r="D32" t="s">
        <v>31</v>
      </c>
    </row>
    <row r="34" spans="2:4" x14ac:dyDescent="0.3">
      <c r="B34" t="s">
        <v>28</v>
      </c>
      <c r="C34" s="25">
        <f>+Tabla22456[[#Totals],[Intereses Depósitos RC-IVA 13%]]</f>
        <v>78</v>
      </c>
      <c r="D34" t="s">
        <v>31</v>
      </c>
    </row>
  </sheetData>
  <mergeCells count="5">
    <mergeCell ref="A3:R3"/>
    <mergeCell ref="A4:R4"/>
    <mergeCell ref="A5:R5"/>
    <mergeCell ref="F22:I22"/>
    <mergeCell ref="F30:G30"/>
  </mergeCells>
  <pageMargins left="0.39370078740157483" right="0.43307086614173229" top="0.74803149606299213" bottom="0.74803149606299213" header="0.31496062992125984" footer="0.31496062992125984"/>
  <pageSetup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</vt:lpstr>
    </vt:vector>
  </TitlesOfParts>
  <Company>UVirtual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BOLIVIAIMPUESTOS.COM</dc:creator>
  <cp:lastModifiedBy>roberto</cp:lastModifiedBy>
  <cp:lastPrinted>2012-06-18T17:54:15Z</cp:lastPrinted>
  <dcterms:created xsi:type="dcterms:W3CDTF">2012-02-14T15:10:19Z</dcterms:created>
  <dcterms:modified xsi:type="dcterms:W3CDTF">2023-05-25T14:54:07Z</dcterms:modified>
</cp:coreProperties>
</file>